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ighway\LocalSystems\Secondary Roads\FM Funds\FY2025\"/>
    </mc:Choice>
  </mc:AlternateContent>
  <xr:revisionPtr revIDLastSave="0" documentId="13_ncr:1_{6F5584C4-AF95-4BB9-8A18-42AC7B1F5264}" xr6:coauthVersionLast="47" xr6:coauthVersionMax="47" xr10:uidLastSave="{00000000-0000-0000-0000-000000000000}"/>
  <bookViews>
    <workbookView xWindow="510" yWindow="480" windowWidth="28230" windowHeight="14850" xr2:uid="{00000000-000D-0000-FFFF-FFFF00000000}"/>
  </bookViews>
  <sheets>
    <sheet name="Monthly Letting Report" sheetId="1" r:id="rId1"/>
    <sheet name="RUTF" sheetId="5" r:id="rId2"/>
    <sheet name="Federal" sheetId="6" r:id="rId3"/>
    <sheet name="Co Contrib" sheetId="7" r:id="rId4"/>
    <sheet name="Other Rev" sheetId="8" r:id="rId5"/>
    <sheet name="Expenditures" sheetId="9" r:id="rId6"/>
    <sheet name="Qrtrly Cash Balances" sheetId="4" r:id="rId7"/>
    <sheet name="Qrtrly Obligations" sheetId="3" r:id="rId8"/>
  </sheets>
  <definedNames>
    <definedName name="_xlnm.Print_Area" localSheetId="0">'Monthly Letting Report'!$A$1:$AL$105</definedName>
    <definedName name="_xlnm.Print_Titles" localSheetId="0">'Monthly Letting Report'!$1:$5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I104" i="1" l="1"/>
  <c r="AI103" i="1"/>
  <c r="AI102" i="1"/>
  <c r="AI101" i="1"/>
  <c r="AI100" i="1"/>
  <c r="AI99" i="1"/>
  <c r="AI98" i="1"/>
  <c r="AI97" i="1"/>
  <c r="AI96" i="1"/>
  <c r="AI95" i="1"/>
  <c r="AI94" i="1"/>
  <c r="AI93" i="1"/>
  <c r="AI92" i="1"/>
  <c r="AI91" i="1"/>
  <c r="AI90" i="1"/>
  <c r="AI89" i="1"/>
  <c r="AI88" i="1"/>
  <c r="AI87" i="1"/>
  <c r="AI86" i="1"/>
  <c r="AI85" i="1"/>
  <c r="AI84" i="1"/>
  <c r="AI83" i="1"/>
  <c r="AI82" i="1"/>
  <c r="AI81" i="1"/>
  <c r="AI80" i="1"/>
  <c r="AI79" i="1"/>
  <c r="AI78" i="1"/>
  <c r="AI77" i="1"/>
  <c r="AI76" i="1"/>
  <c r="AI75" i="1"/>
  <c r="AI74" i="1"/>
  <c r="AI73" i="1"/>
  <c r="AI72" i="1"/>
  <c r="AI71" i="1"/>
  <c r="AI70" i="1"/>
  <c r="AI69" i="1"/>
  <c r="AI68" i="1"/>
  <c r="AI67" i="1"/>
  <c r="AI66" i="1"/>
  <c r="AI65" i="1"/>
  <c r="AI64" i="1"/>
  <c r="AI63" i="1"/>
  <c r="AI62" i="1"/>
  <c r="AI61" i="1"/>
  <c r="AI60" i="1"/>
  <c r="AI59" i="1"/>
  <c r="AI58" i="1"/>
  <c r="AI57" i="1"/>
  <c r="AI56" i="1"/>
  <c r="AI55" i="1"/>
  <c r="AI54" i="1"/>
  <c r="AI53" i="1"/>
  <c r="AI52" i="1"/>
  <c r="AI51" i="1"/>
  <c r="AI50" i="1"/>
  <c r="AI49" i="1"/>
  <c r="AI48" i="1"/>
  <c r="AI47" i="1"/>
  <c r="AI46" i="1"/>
  <c r="AI45" i="1"/>
  <c r="AI44" i="1"/>
  <c r="AI43" i="1"/>
  <c r="AI42" i="1"/>
  <c r="AI41" i="1"/>
  <c r="AI40" i="1"/>
  <c r="AI39" i="1"/>
  <c r="AI38" i="1"/>
  <c r="AI37" i="1"/>
  <c r="AI36" i="1"/>
  <c r="AI35" i="1"/>
  <c r="AI34" i="1"/>
  <c r="AI33" i="1"/>
  <c r="AI32" i="1"/>
  <c r="AI31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I9" i="1"/>
  <c r="AI8" i="1"/>
  <c r="AI7" i="1"/>
  <c r="AI6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U101" i="3"/>
  <c r="CA84" i="1"/>
  <c r="CA71" i="1"/>
  <c r="CA60" i="1"/>
  <c r="CC80" i="1"/>
  <c r="CA80" i="1"/>
  <c r="CC79" i="1"/>
  <c r="CA79" i="1"/>
  <c r="CC62" i="1"/>
  <c r="CA62" i="1"/>
  <c r="CC60" i="1"/>
  <c r="BZ91" i="1"/>
  <c r="BZ55" i="1"/>
  <c r="BZ17" i="1"/>
  <c r="BV90" i="1"/>
  <c r="BW38" i="1"/>
  <c r="BV38" i="1"/>
  <c r="BX89" i="1"/>
  <c r="BV89" i="1"/>
  <c r="BX19" i="1"/>
  <c r="BV19" i="1"/>
  <c r="BU34" i="1"/>
  <c r="BQ34" i="1"/>
  <c r="BS50" i="1"/>
  <c r="BQ50" i="1"/>
  <c r="BS26" i="1"/>
  <c r="BS41" i="1"/>
  <c r="BQ41" i="1"/>
  <c r="BQ26" i="1"/>
  <c r="BL54" i="1"/>
  <c r="BL55" i="1"/>
  <c r="BN55" i="1"/>
  <c r="BG55" i="1"/>
  <c r="BI63" i="1"/>
  <c r="BG63" i="1"/>
  <c r="BI87" i="1"/>
  <c r="BG87" i="1"/>
  <c r="BG80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AY33" i="1"/>
  <c r="AW33" i="1"/>
  <c r="AR55" i="1"/>
  <c r="AT55" i="1"/>
  <c r="CY93" i="1"/>
  <c r="W101" i="3"/>
  <c r="W103" i="3" s="1"/>
  <c r="W105" i="3" s="1"/>
  <c r="V101" i="3"/>
  <c r="V103" i="3" s="1"/>
  <c r="V105" i="3" s="1"/>
  <c r="U103" i="3"/>
  <c r="U105" i="3" s="1"/>
  <c r="T101" i="3"/>
  <c r="T103" i="3" s="1"/>
  <c r="T105" i="3" s="1"/>
  <c r="C104" i="4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F104" i="1" l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P101" i="3" l="1"/>
  <c r="P103" i="3" s="1"/>
  <c r="P105" i="3" s="1"/>
  <c r="C105" i="1"/>
  <c r="S101" i="3"/>
  <c r="S103" i="3" s="1"/>
  <c r="S105" i="3" s="1"/>
  <c r="R101" i="3"/>
  <c r="R103" i="3" s="1"/>
  <c r="R105" i="3" s="1"/>
  <c r="Q101" i="3"/>
  <c r="Q103" i="3" s="1"/>
  <c r="Q105" i="3" s="1"/>
  <c r="N105" i="8"/>
  <c r="O101" i="3"/>
  <c r="O103" i="3" s="1"/>
  <c r="Z104" i="9"/>
  <c r="Z103" i="9"/>
  <c r="Y102" i="9"/>
  <c r="X102" i="9"/>
  <c r="W102" i="9"/>
  <c r="V102" i="9"/>
  <c r="U102" i="9"/>
  <c r="N103" i="8"/>
  <c r="R104" i="6"/>
  <c r="R103" i="6"/>
  <c r="O102" i="6"/>
  <c r="N101" i="3"/>
  <c r="N103" i="3" s="1"/>
  <c r="N105" i="3" s="1"/>
  <c r="T104" i="9"/>
  <c r="T103" i="9"/>
  <c r="S102" i="9"/>
  <c r="R102" i="9"/>
  <c r="Q102" i="9"/>
  <c r="P102" i="9"/>
  <c r="O102" i="9"/>
  <c r="K105" i="8"/>
  <c r="K103" i="8"/>
  <c r="N104" i="6"/>
  <c r="N103" i="6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108" i="5" l="1"/>
  <c r="F108" i="5"/>
  <c r="G105" i="1"/>
  <c r="O105" i="3"/>
  <c r="M101" i="3"/>
  <c r="M103" i="3" s="1"/>
  <c r="M105" i="3" s="1"/>
  <c r="M102" i="9"/>
  <c r="L102" i="9"/>
  <c r="K102" i="9"/>
  <c r="J102" i="9"/>
  <c r="I102" i="9"/>
  <c r="H105" i="8" l="1"/>
  <c r="H103" i="8"/>
  <c r="J104" i="6" l="1"/>
  <c r="E108" i="5" s="1"/>
  <c r="J103" i="6"/>
  <c r="I102" i="6"/>
  <c r="I105" i="6" s="1"/>
  <c r="H102" i="6"/>
  <c r="H105" i="6" s="1"/>
  <c r="G102" i="6"/>
  <c r="G105" i="6" s="1"/>
  <c r="Y105" i="9" l="1"/>
  <c r="X105" i="9"/>
  <c r="W105" i="9"/>
  <c r="V105" i="9"/>
  <c r="U105" i="9"/>
  <c r="S105" i="9"/>
  <c r="R105" i="9"/>
  <c r="Q105" i="9"/>
  <c r="P105" i="9"/>
  <c r="O105" i="9"/>
  <c r="M105" i="9"/>
  <c r="L105" i="9"/>
  <c r="K105" i="9"/>
  <c r="K107" i="9" s="1"/>
  <c r="J105" i="9"/>
  <c r="J107" i="9" s="1"/>
  <c r="I105" i="9"/>
  <c r="I107" i="9" s="1"/>
  <c r="G102" i="9"/>
  <c r="G105" i="9" s="1"/>
  <c r="F102" i="9"/>
  <c r="F105" i="9" s="1"/>
  <c r="E102" i="9"/>
  <c r="E105" i="9" s="1"/>
  <c r="D102" i="9"/>
  <c r="D105" i="9" s="1"/>
  <c r="C102" i="9"/>
  <c r="C105" i="9" s="1"/>
  <c r="L104" i="3"/>
  <c r="D102" i="4"/>
  <c r="C102" i="4"/>
  <c r="C106" i="4" l="1"/>
  <c r="L107" i="9"/>
  <c r="M107" i="9"/>
  <c r="E105" i="8"/>
  <c r="F104" i="6"/>
  <c r="F103" i="6"/>
  <c r="E103" i="8"/>
  <c r="E102" i="6"/>
  <c r="E105" i="6" s="1"/>
  <c r="D102" i="6"/>
  <c r="D105" i="6" s="1"/>
  <c r="L101" i="3"/>
  <c r="D108" i="5" l="1"/>
  <c r="D6" i="1" l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 l="1"/>
  <c r="D104" i="4"/>
  <c r="D106" i="4" s="1"/>
  <c r="G102" i="4"/>
  <c r="G104" i="4" s="1"/>
  <c r="G106" i="4" s="1"/>
  <c r="F102" i="4"/>
  <c r="F104" i="4" s="1"/>
  <c r="F106" i="4" s="1"/>
  <c r="E102" i="4"/>
  <c r="E104" i="4" s="1"/>
  <c r="E106" i="4" s="1"/>
  <c r="N104" i="9"/>
  <c r="N103" i="9"/>
  <c r="H104" i="9"/>
  <c r="H103" i="9"/>
  <c r="H101" i="9"/>
  <c r="H100" i="9"/>
  <c r="H99" i="9"/>
  <c r="H98" i="9"/>
  <c r="H97" i="9"/>
  <c r="H96" i="9"/>
  <c r="H95" i="9"/>
  <c r="H94" i="9"/>
  <c r="H93" i="9"/>
  <c r="H92" i="9"/>
  <c r="H91" i="9"/>
  <c r="H90" i="9"/>
  <c r="H89" i="9"/>
  <c r="H88" i="9"/>
  <c r="H87" i="9"/>
  <c r="H86" i="9"/>
  <c r="H85" i="9"/>
  <c r="H84" i="9"/>
  <c r="H83" i="9"/>
  <c r="H82" i="9"/>
  <c r="H81" i="9"/>
  <c r="H80" i="9"/>
  <c r="H79" i="9"/>
  <c r="H78" i="9"/>
  <c r="H77" i="9"/>
  <c r="H76" i="9"/>
  <c r="H75" i="9"/>
  <c r="H74" i="9"/>
  <c r="H73" i="9"/>
  <c r="H72" i="9"/>
  <c r="H71" i="9"/>
  <c r="H70" i="9"/>
  <c r="H69" i="9"/>
  <c r="H68" i="9"/>
  <c r="H67" i="9"/>
  <c r="H66" i="9"/>
  <c r="H65" i="9"/>
  <c r="H64" i="9"/>
  <c r="H63" i="9"/>
  <c r="H62" i="9"/>
  <c r="H61" i="9"/>
  <c r="H60" i="9"/>
  <c r="H59" i="9"/>
  <c r="H58" i="9"/>
  <c r="H57" i="9"/>
  <c r="H56" i="9"/>
  <c r="H55" i="9"/>
  <c r="H54" i="9"/>
  <c r="H53" i="9"/>
  <c r="H52" i="9"/>
  <c r="H51" i="9"/>
  <c r="H50" i="9"/>
  <c r="H49" i="9"/>
  <c r="H48" i="9"/>
  <c r="H47" i="9"/>
  <c r="H46" i="9"/>
  <c r="H45" i="9"/>
  <c r="H44" i="9"/>
  <c r="H43" i="9"/>
  <c r="H42" i="9"/>
  <c r="H41" i="9"/>
  <c r="H40" i="9"/>
  <c r="H39" i="9"/>
  <c r="H38" i="9"/>
  <c r="H37" i="9"/>
  <c r="H36" i="9"/>
  <c r="H35" i="9"/>
  <c r="H34" i="9"/>
  <c r="H33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5" i="9"/>
  <c r="H4" i="9"/>
  <c r="H3" i="9"/>
  <c r="N101" i="9"/>
  <c r="N100" i="9"/>
  <c r="N99" i="9"/>
  <c r="N98" i="9"/>
  <c r="N97" i="9"/>
  <c r="N96" i="9"/>
  <c r="N95" i="9"/>
  <c r="N94" i="9"/>
  <c r="N93" i="9"/>
  <c r="N92" i="9"/>
  <c r="N91" i="9"/>
  <c r="N90" i="9"/>
  <c r="N89" i="9"/>
  <c r="N88" i="9"/>
  <c r="N87" i="9"/>
  <c r="N86" i="9"/>
  <c r="N85" i="9"/>
  <c r="N84" i="9"/>
  <c r="N83" i="9"/>
  <c r="N82" i="9"/>
  <c r="N81" i="9"/>
  <c r="N80" i="9"/>
  <c r="N79" i="9"/>
  <c r="N78" i="9"/>
  <c r="N77" i="9"/>
  <c r="N76" i="9"/>
  <c r="N75" i="9"/>
  <c r="N74" i="9"/>
  <c r="N73" i="9"/>
  <c r="N72" i="9"/>
  <c r="N71" i="9"/>
  <c r="N70" i="9"/>
  <c r="N69" i="9"/>
  <c r="N68" i="9"/>
  <c r="N67" i="9"/>
  <c r="N66" i="9"/>
  <c r="N65" i="9"/>
  <c r="N64" i="9"/>
  <c r="N63" i="9"/>
  <c r="N62" i="9"/>
  <c r="N61" i="9"/>
  <c r="N60" i="9"/>
  <c r="N59" i="9"/>
  <c r="N58" i="9"/>
  <c r="N57" i="9"/>
  <c r="N56" i="9"/>
  <c r="N55" i="9"/>
  <c r="N54" i="9"/>
  <c r="N53" i="9"/>
  <c r="N52" i="9"/>
  <c r="N51" i="9"/>
  <c r="N50" i="9"/>
  <c r="N49" i="9"/>
  <c r="N48" i="9"/>
  <c r="N47" i="9"/>
  <c r="N46" i="9"/>
  <c r="N45" i="9"/>
  <c r="N44" i="9"/>
  <c r="N43" i="9"/>
  <c r="N42" i="9"/>
  <c r="N41" i="9"/>
  <c r="N40" i="9"/>
  <c r="N39" i="9"/>
  <c r="N38" i="9"/>
  <c r="N37" i="9"/>
  <c r="N36" i="9"/>
  <c r="N35" i="9"/>
  <c r="N34" i="9"/>
  <c r="N33" i="9"/>
  <c r="N32" i="9"/>
  <c r="N31" i="9"/>
  <c r="N30" i="9"/>
  <c r="N29" i="9"/>
  <c r="N28" i="9"/>
  <c r="N27" i="9"/>
  <c r="N26" i="9"/>
  <c r="N25" i="9"/>
  <c r="N24" i="9"/>
  <c r="N23" i="9"/>
  <c r="N22" i="9"/>
  <c r="N21" i="9"/>
  <c r="N20" i="9"/>
  <c r="N19" i="9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5" i="9"/>
  <c r="N4" i="9"/>
  <c r="N3" i="9"/>
  <c r="D102" i="8"/>
  <c r="C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4" i="8"/>
  <c r="E3" i="8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J101" i="6"/>
  <c r="J100" i="6"/>
  <c r="J99" i="6"/>
  <c r="J98" i="6"/>
  <c r="J97" i="6"/>
  <c r="J96" i="6"/>
  <c r="J95" i="6"/>
  <c r="J94" i="6"/>
  <c r="J93" i="6"/>
  <c r="J92" i="6"/>
  <c r="J91" i="6"/>
  <c r="J90" i="6"/>
  <c r="J89" i="6"/>
  <c r="J88" i="6"/>
  <c r="J87" i="6"/>
  <c r="J86" i="6"/>
  <c r="J85" i="6"/>
  <c r="J84" i="6"/>
  <c r="J83" i="6"/>
  <c r="J82" i="6"/>
  <c r="J81" i="6"/>
  <c r="J80" i="6"/>
  <c r="J79" i="6"/>
  <c r="J78" i="6"/>
  <c r="J77" i="6"/>
  <c r="J76" i="6"/>
  <c r="J75" i="6"/>
  <c r="J74" i="6"/>
  <c r="J73" i="6"/>
  <c r="J72" i="6"/>
  <c r="J71" i="6"/>
  <c r="J70" i="6"/>
  <c r="J69" i="6"/>
  <c r="J68" i="6"/>
  <c r="J67" i="6"/>
  <c r="J66" i="6"/>
  <c r="J65" i="6"/>
  <c r="J64" i="6"/>
  <c r="J63" i="6"/>
  <c r="J62" i="6"/>
  <c r="J61" i="6"/>
  <c r="J60" i="6"/>
  <c r="J59" i="6"/>
  <c r="J58" i="6"/>
  <c r="J57" i="6"/>
  <c r="J56" i="6"/>
  <c r="J55" i="6"/>
  <c r="J54" i="6"/>
  <c r="J53" i="6"/>
  <c r="J52" i="6"/>
  <c r="J51" i="6"/>
  <c r="J50" i="6"/>
  <c r="J49" i="6"/>
  <c r="J48" i="6"/>
  <c r="J47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J7" i="6"/>
  <c r="J6" i="6"/>
  <c r="J5" i="6"/>
  <c r="J4" i="6"/>
  <c r="J3" i="6"/>
  <c r="D104" i="8" l="1"/>
  <c r="D106" i="8" s="1"/>
  <c r="C104" i="8"/>
  <c r="C106" i="8" s="1"/>
  <c r="N102" i="9"/>
  <c r="F102" i="6"/>
  <c r="H102" i="9"/>
  <c r="H109" i="9" s="1"/>
  <c r="G107" i="9"/>
  <c r="E102" i="8"/>
  <c r="E104" i="8" s="1"/>
  <c r="H105" i="9" l="1"/>
  <c r="N109" i="9"/>
  <c r="N105" i="9"/>
  <c r="N107" i="9" s="1"/>
  <c r="F107" i="6"/>
  <c r="F105" i="6"/>
  <c r="F107" i="9"/>
  <c r="E109" i="8"/>
  <c r="M102" i="8"/>
  <c r="L102" i="8"/>
  <c r="N4" i="8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55" i="8"/>
  <c r="N56" i="8"/>
  <c r="N57" i="8"/>
  <c r="N58" i="8"/>
  <c r="N59" i="8"/>
  <c r="N60" i="8"/>
  <c r="N61" i="8"/>
  <c r="N62" i="8"/>
  <c r="N63" i="8"/>
  <c r="N64" i="8"/>
  <c r="N65" i="8"/>
  <c r="N66" i="8"/>
  <c r="N67" i="8"/>
  <c r="N68" i="8"/>
  <c r="N69" i="8"/>
  <c r="N70" i="8"/>
  <c r="N71" i="8"/>
  <c r="N72" i="8"/>
  <c r="N73" i="8"/>
  <c r="N74" i="8"/>
  <c r="N75" i="8"/>
  <c r="N76" i="8"/>
  <c r="N77" i="8"/>
  <c r="N78" i="8"/>
  <c r="N79" i="8"/>
  <c r="N80" i="8"/>
  <c r="N81" i="8"/>
  <c r="N82" i="8"/>
  <c r="N83" i="8"/>
  <c r="N84" i="8"/>
  <c r="N85" i="8"/>
  <c r="N86" i="8"/>
  <c r="N87" i="8"/>
  <c r="N88" i="8"/>
  <c r="N89" i="8"/>
  <c r="N90" i="8"/>
  <c r="N91" i="8"/>
  <c r="N92" i="8"/>
  <c r="N93" i="8"/>
  <c r="N94" i="8"/>
  <c r="N95" i="8"/>
  <c r="N96" i="8"/>
  <c r="N97" i="8"/>
  <c r="N98" i="8"/>
  <c r="N99" i="8"/>
  <c r="N100" i="8"/>
  <c r="N101" i="8"/>
  <c r="N3" i="8"/>
  <c r="D102" i="7"/>
  <c r="E102" i="7"/>
  <c r="F102" i="7"/>
  <c r="R4" i="6"/>
  <c r="R5" i="6"/>
  <c r="R6" i="6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R43" i="6"/>
  <c r="R44" i="6"/>
  <c r="R45" i="6"/>
  <c r="R46" i="6"/>
  <c r="R47" i="6"/>
  <c r="R48" i="6"/>
  <c r="R49" i="6"/>
  <c r="R50" i="6"/>
  <c r="R51" i="6"/>
  <c r="R52" i="6"/>
  <c r="R53" i="6"/>
  <c r="R54" i="6"/>
  <c r="R55" i="6"/>
  <c r="R56" i="6"/>
  <c r="R57" i="6"/>
  <c r="R58" i="6"/>
  <c r="R59" i="6"/>
  <c r="R60" i="6"/>
  <c r="R61" i="6"/>
  <c r="R62" i="6"/>
  <c r="R63" i="6"/>
  <c r="R64" i="6"/>
  <c r="R65" i="6"/>
  <c r="R66" i="6"/>
  <c r="R67" i="6"/>
  <c r="R68" i="6"/>
  <c r="R69" i="6"/>
  <c r="R70" i="6"/>
  <c r="R71" i="6"/>
  <c r="R72" i="6"/>
  <c r="R73" i="6"/>
  <c r="R74" i="6"/>
  <c r="R75" i="6"/>
  <c r="R76" i="6"/>
  <c r="R77" i="6"/>
  <c r="R78" i="6"/>
  <c r="R79" i="6"/>
  <c r="R80" i="6"/>
  <c r="R81" i="6"/>
  <c r="R82" i="6"/>
  <c r="R83" i="6"/>
  <c r="R84" i="6"/>
  <c r="R85" i="6"/>
  <c r="R86" i="6"/>
  <c r="R87" i="6"/>
  <c r="R88" i="6"/>
  <c r="R89" i="6"/>
  <c r="R90" i="6"/>
  <c r="R91" i="6"/>
  <c r="R92" i="6"/>
  <c r="R93" i="6"/>
  <c r="R94" i="6"/>
  <c r="R95" i="6"/>
  <c r="R96" i="6"/>
  <c r="R97" i="6"/>
  <c r="R98" i="6"/>
  <c r="R99" i="6"/>
  <c r="R100" i="6"/>
  <c r="R101" i="6"/>
  <c r="R3" i="6"/>
  <c r="O105" i="6"/>
  <c r="P102" i="6"/>
  <c r="P105" i="6" s="1"/>
  <c r="Q102" i="6"/>
  <c r="Q105" i="6" s="1"/>
  <c r="Z4" i="9"/>
  <c r="Z5" i="9"/>
  <c r="Z6" i="9"/>
  <c r="Z7" i="9"/>
  <c r="Z8" i="9"/>
  <c r="Z9" i="9"/>
  <c r="Z10" i="9"/>
  <c r="Z11" i="9"/>
  <c r="Z12" i="9"/>
  <c r="Z13" i="9"/>
  <c r="Z14" i="9"/>
  <c r="Z15" i="9"/>
  <c r="Z16" i="9"/>
  <c r="Z17" i="9"/>
  <c r="Z18" i="9"/>
  <c r="Z19" i="9"/>
  <c r="Z20" i="9"/>
  <c r="Z21" i="9"/>
  <c r="Z22" i="9"/>
  <c r="Z23" i="9"/>
  <c r="Z24" i="9"/>
  <c r="Z25" i="9"/>
  <c r="Z26" i="9"/>
  <c r="Z27" i="9"/>
  <c r="Z28" i="9"/>
  <c r="Z29" i="9"/>
  <c r="Z30" i="9"/>
  <c r="Z31" i="9"/>
  <c r="Z32" i="9"/>
  <c r="Z33" i="9"/>
  <c r="Z34" i="9"/>
  <c r="Z35" i="9"/>
  <c r="Z36" i="9"/>
  <c r="Z37" i="9"/>
  <c r="Z38" i="9"/>
  <c r="Z39" i="9"/>
  <c r="Z40" i="9"/>
  <c r="Z41" i="9"/>
  <c r="Z42" i="9"/>
  <c r="Z43" i="9"/>
  <c r="Z44" i="9"/>
  <c r="Z45" i="9"/>
  <c r="Z46" i="9"/>
  <c r="Z47" i="9"/>
  <c r="Z48" i="9"/>
  <c r="Z49" i="9"/>
  <c r="Z50" i="9"/>
  <c r="Z51" i="9"/>
  <c r="Z52" i="9"/>
  <c r="Z53" i="9"/>
  <c r="Z54" i="9"/>
  <c r="Z55" i="9"/>
  <c r="Z56" i="9"/>
  <c r="Z57" i="9"/>
  <c r="Z58" i="9"/>
  <c r="Z59" i="9"/>
  <c r="Z60" i="9"/>
  <c r="Z61" i="9"/>
  <c r="Z62" i="9"/>
  <c r="Z63" i="9"/>
  <c r="Z64" i="9"/>
  <c r="Z65" i="9"/>
  <c r="Z66" i="9"/>
  <c r="Z67" i="9"/>
  <c r="Z68" i="9"/>
  <c r="Z69" i="9"/>
  <c r="Z70" i="9"/>
  <c r="Z71" i="9"/>
  <c r="Z72" i="9"/>
  <c r="Z73" i="9"/>
  <c r="Z74" i="9"/>
  <c r="Z75" i="9"/>
  <c r="Z76" i="9"/>
  <c r="Z77" i="9"/>
  <c r="Z78" i="9"/>
  <c r="Z79" i="9"/>
  <c r="Z80" i="9"/>
  <c r="Z81" i="9"/>
  <c r="Z82" i="9"/>
  <c r="Z83" i="9"/>
  <c r="Z84" i="9"/>
  <c r="Z85" i="9"/>
  <c r="Z86" i="9"/>
  <c r="Z87" i="9"/>
  <c r="Z88" i="9"/>
  <c r="Z89" i="9"/>
  <c r="Z90" i="9"/>
  <c r="Z91" i="9"/>
  <c r="Z92" i="9"/>
  <c r="Z93" i="9"/>
  <c r="Z94" i="9"/>
  <c r="Z95" i="9"/>
  <c r="Z96" i="9"/>
  <c r="Z97" i="9"/>
  <c r="Z98" i="9"/>
  <c r="Z99" i="9"/>
  <c r="Z100" i="9"/>
  <c r="Z101" i="9"/>
  <c r="Z3" i="9"/>
  <c r="Y107" i="9"/>
  <c r="X107" i="9"/>
  <c r="W107" i="9"/>
  <c r="V107" i="9"/>
  <c r="U107" i="9"/>
  <c r="L103" i="3"/>
  <c r="L105" i="3" s="1"/>
  <c r="K101" i="3"/>
  <c r="K103" i="3" s="1"/>
  <c r="M104" i="8" l="1"/>
  <c r="M106" i="8" s="1"/>
  <c r="L104" i="8"/>
  <c r="L106" i="8" s="1"/>
  <c r="Z102" i="9"/>
  <c r="R102" i="6"/>
  <c r="R105" i="6" s="1"/>
  <c r="F105" i="7"/>
  <c r="E105" i="7"/>
  <c r="D105" i="7"/>
  <c r="N102" i="8"/>
  <c r="N104" i="8" s="1"/>
  <c r="Z105" i="9" l="1"/>
  <c r="Z107" i="9" s="1"/>
  <c r="G110" i="5"/>
  <c r="R107" i="9"/>
  <c r="S107" i="9"/>
  <c r="T4" i="9"/>
  <c r="T5" i="9"/>
  <c r="T6" i="9"/>
  <c r="T7" i="9"/>
  <c r="T8" i="9"/>
  <c r="K11" i="1" s="1"/>
  <c r="T9" i="9"/>
  <c r="T10" i="9"/>
  <c r="T11" i="9"/>
  <c r="T12" i="9"/>
  <c r="T13" i="9"/>
  <c r="T14" i="9"/>
  <c r="T15" i="9"/>
  <c r="T16" i="9"/>
  <c r="T17" i="9"/>
  <c r="T18" i="9"/>
  <c r="T19" i="9"/>
  <c r="T20" i="9"/>
  <c r="T21" i="9"/>
  <c r="T22" i="9"/>
  <c r="T23" i="9"/>
  <c r="T24" i="9"/>
  <c r="K27" i="1" s="1"/>
  <c r="T25" i="9"/>
  <c r="T26" i="9"/>
  <c r="T27" i="9"/>
  <c r="T28" i="9"/>
  <c r="T29" i="9"/>
  <c r="T30" i="9"/>
  <c r="T31" i="9"/>
  <c r="T32" i="9"/>
  <c r="T33" i="9"/>
  <c r="T34" i="9"/>
  <c r="T35" i="9"/>
  <c r="T36" i="9"/>
  <c r="T37" i="9"/>
  <c r="T38" i="9"/>
  <c r="T39" i="9"/>
  <c r="T40" i="9"/>
  <c r="T41" i="9"/>
  <c r="T42" i="9"/>
  <c r="T43" i="9"/>
  <c r="T44" i="9"/>
  <c r="T45" i="9"/>
  <c r="T46" i="9"/>
  <c r="T47" i="9"/>
  <c r="T48" i="9"/>
  <c r="T49" i="9"/>
  <c r="T50" i="9"/>
  <c r="T51" i="9"/>
  <c r="T52" i="9"/>
  <c r="T53" i="9"/>
  <c r="T54" i="9"/>
  <c r="T55" i="9"/>
  <c r="T56" i="9"/>
  <c r="T57" i="9"/>
  <c r="T58" i="9"/>
  <c r="T59" i="9"/>
  <c r="T60" i="9"/>
  <c r="T61" i="9"/>
  <c r="T62" i="9"/>
  <c r="T63" i="9"/>
  <c r="T64" i="9"/>
  <c r="T65" i="9"/>
  <c r="T66" i="9"/>
  <c r="T67" i="9"/>
  <c r="T68" i="9"/>
  <c r="T69" i="9"/>
  <c r="T70" i="9"/>
  <c r="T71" i="9"/>
  <c r="T72" i="9"/>
  <c r="T73" i="9"/>
  <c r="T74" i="9"/>
  <c r="T75" i="9"/>
  <c r="T76" i="9"/>
  <c r="T77" i="9"/>
  <c r="T78" i="9"/>
  <c r="T79" i="9"/>
  <c r="T80" i="9"/>
  <c r="T81" i="9"/>
  <c r="T82" i="9"/>
  <c r="T83" i="9"/>
  <c r="T84" i="9"/>
  <c r="T85" i="9"/>
  <c r="T86" i="9"/>
  <c r="T87" i="9"/>
  <c r="T88" i="9"/>
  <c r="T89" i="9"/>
  <c r="T90" i="9"/>
  <c r="T91" i="9"/>
  <c r="T92" i="9"/>
  <c r="T93" i="9"/>
  <c r="T94" i="9"/>
  <c r="T95" i="9"/>
  <c r="T96" i="9"/>
  <c r="T97" i="9"/>
  <c r="T98" i="9"/>
  <c r="T99" i="9"/>
  <c r="T100" i="9"/>
  <c r="T101" i="9"/>
  <c r="T3" i="9"/>
  <c r="P107" i="9"/>
  <c r="Q107" i="9"/>
  <c r="O107" i="9"/>
  <c r="D107" i="9"/>
  <c r="T102" i="9" l="1"/>
  <c r="K15" i="1"/>
  <c r="K103" i="1"/>
  <c r="K95" i="1"/>
  <c r="K87" i="1"/>
  <c r="K79" i="1"/>
  <c r="K71" i="1"/>
  <c r="K63" i="1"/>
  <c r="K55" i="1"/>
  <c r="K47" i="1"/>
  <c r="K39" i="1"/>
  <c r="K31" i="1"/>
  <c r="K23" i="1"/>
  <c r="K7" i="1"/>
  <c r="K8" i="1"/>
  <c r="K16" i="1"/>
  <c r="K24" i="1"/>
  <c r="K32" i="1"/>
  <c r="K40" i="1"/>
  <c r="K59" i="1"/>
  <c r="K43" i="1"/>
  <c r="K56" i="1"/>
  <c r="K80" i="1"/>
  <c r="K96" i="1"/>
  <c r="K48" i="1"/>
  <c r="K64" i="1"/>
  <c r="K88" i="1"/>
  <c r="K104" i="1"/>
  <c r="K72" i="1"/>
  <c r="K75" i="1"/>
  <c r="K99" i="1"/>
  <c r="K91" i="1"/>
  <c r="K83" i="1"/>
  <c r="K67" i="1"/>
  <c r="K51" i="1"/>
  <c r="K35" i="1"/>
  <c r="K19" i="1"/>
  <c r="K12" i="1"/>
  <c r="K20" i="1"/>
  <c r="K28" i="1"/>
  <c r="K36" i="1"/>
  <c r="K44" i="1"/>
  <c r="K52" i="1"/>
  <c r="K60" i="1"/>
  <c r="K68" i="1"/>
  <c r="K76" i="1"/>
  <c r="K84" i="1"/>
  <c r="K92" i="1"/>
  <c r="K100" i="1"/>
  <c r="K9" i="1"/>
  <c r="K13" i="1"/>
  <c r="K17" i="1"/>
  <c r="K21" i="1"/>
  <c r="K25" i="1"/>
  <c r="K29" i="1"/>
  <c r="K33" i="1"/>
  <c r="K37" i="1"/>
  <c r="K41" i="1"/>
  <c r="K45" i="1"/>
  <c r="K49" i="1"/>
  <c r="K53" i="1"/>
  <c r="K57" i="1"/>
  <c r="K61" i="1"/>
  <c r="K65" i="1"/>
  <c r="K69" i="1"/>
  <c r="K73" i="1"/>
  <c r="K77" i="1"/>
  <c r="K81" i="1"/>
  <c r="K85" i="1"/>
  <c r="K89" i="1"/>
  <c r="K93" i="1"/>
  <c r="K97" i="1"/>
  <c r="K101" i="1"/>
  <c r="K6" i="1"/>
  <c r="K10" i="1"/>
  <c r="K14" i="1"/>
  <c r="K18" i="1"/>
  <c r="K22" i="1"/>
  <c r="K26" i="1"/>
  <c r="K30" i="1"/>
  <c r="K34" i="1"/>
  <c r="K38" i="1"/>
  <c r="K42" i="1"/>
  <c r="K46" i="1"/>
  <c r="K50" i="1"/>
  <c r="K54" i="1"/>
  <c r="K58" i="1"/>
  <c r="K62" i="1"/>
  <c r="K66" i="1"/>
  <c r="K70" i="1"/>
  <c r="K74" i="1"/>
  <c r="K78" i="1"/>
  <c r="K82" i="1"/>
  <c r="K86" i="1"/>
  <c r="K90" i="1"/>
  <c r="K94" i="1"/>
  <c r="K98" i="1"/>
  <c r="K102" i="1"/>
  <c r="E107" i="9"/>
  <c r="C107" i="9"/>
  <c r="K102" i="6"/>
  <c r="K105" i="6" s="1"/>
  <c r="L102" i="6"/>
  <c r="L105" i="6" s="1"/>
  <c r="M102" i="6"/>
  <c r="M105" i="6" s="1"/>
  <c r="J102" i="6"/>
  <c r="N4" i="6"/>
  <c r="I7" i="1" s="1"/>
  <c r="N5" i="6"/>
  <c r="I8" i="1" s="1"/>
  <c r="N6" i="6"/>
  <c r="I9" i="1" s="1"/>
  <c r="N7" i="6"/>
  <c r="I10" i="1" s="1"/>
  <c r="N8" i="6"/>
  <c r="I11" i="1" s="1"/>
  <c r="N9" i="6"/>
  <c r="I12" i="1" s="1"/>
  <c r="N10" i="6"/>
  <c r="I13" i="1" s="1"/>
  <c r="N11" i="6"/>
  <c r="I14" i="1" s="1"/>
  <c r="N12" i="6"/>
  <c r="I15" i="1" s="1"/>
  <c r="N13" i="6"/>
  <c r="I16" i="1" s="1"/>
  <c r="N14" i="6"/>
  <c r="I17" i="1" s="1"/>
  <c r="N15" i="6"/>
  <c r="I18" i="1" s="1"/>
  <c r="N16" i="6"/>
  <c r="I19" i="1" s="1"/>
  <c r="N17" i="6"/>
  <c r="I20" i="1" s="1"/>
  <c r="N18" i="6"/>
  <c r="I21" i="1" s="1"/>
  <c r="N19" i="6"/>
  <c r="I22" i="1" s="1"/>
  <c r="N20" i="6"/>
  <c r="I23" i="1" s="1"/>
  <c r="N21" i="6"/>
  <c r="I24" i="1" s="1"/>
  <c r="N22" i="6"/>
  <c r="I25" i="1" s="1"/>
  <c r="N23" i="6"/>
  <c r="I26" i="1" s="1"/>
  <c r="N24" i="6"/>
  <c r="I27" i="1" s="1"/>
  <c r="N25" i="6"/>
  <c r="I28" i="1" s="1"/>
  <c r="N26" i="6"/>
  <c r="I29" i="1" s="1"/>
  <c r="N27" i="6"/>
  <c r="I30" i="1" s="1"/>
  <c r="N28" i="6"/>
  <c r="I31" i="1" s="1"/>
  <c r="N29" i="6"/>
  <c r="I32" i="1" s="1"/>
  <c r="N30" i="6"/>
  <c r="I33" i="1" s="1"/>
  <c r="N31" i="6"/>
  <c r="I34" i="1" s="1"/>
  <c r="N32" i="6"/>
  <c r="I35" i="1" s="1"/>
  <c r="N33" i="6"/>
  <c r="I36" i="1" s="1"/>
  <c r="N34" i="6"/>
  <c r="I37" i="1" s="1"/>
  <c r="N35" i="6"/>
  <c r="I38" i="1" s="1"/>
  <c r="N36" i="6"/>
  <c r="I39" i="1" s="1"/>
  <c r="N37" i="6"/>
  <c r="I40" i="1" s="1"/>
  <c r="N38" i="6"/>
  <c r="I41" i="1" s="1"/>
  <c r="N39" i="6"/>
  <c r="I42" i="1" s="1"/>
  <c r="N40" i="6"/>
  <c r="I43" i="1" s="1"/>
  <c r="N41" i="6"/>
  <c r="I44" i="1" s="1"/>
  <c r="N42" i="6"/>
  <c r="I45" i="1" s="1"/>
  <c r="N43" i="6"/>
  <c r="I46" i="1" s="1"/>
  <c r="N44" i="6"/>
  <c r="I47" i="1" s="1"/>
  <c r="N45" i="6"/>
  <c r="I48" i="1" s="1"/>
  <c r="N46" i="6"/>
  <c r="I49" i="1" s="1"/>
  <c r="N47" i="6"/>
  <c r="I50" i="1" s="1"/>
  <c r="N48" i="6"/>
  <c r="I51" i="1" s="1"/>
  <c r="N49" i="6"/>
  <c r="I52" i="1" s="1"/>
  <c r="N50" i="6"/>
  <c r="I53" i="1" s="1"/>
  <c r="N51" i="6"/>
  <c r="I54" i="1" s="1"/>
  <c r="N52" i="6"/>
  <c r="I55" i="1" s="1"/>
  <c r="N53" i="6"/>
  <c r="I56" i="1" s="1"/>
  <c r="N54" i="6"/>
  <c r="I57" i="1" s="1"/>
  <c r="N55" i="6"/>
  <c r="I58" i="1" s="1"/>
  <c r="N56" i="6"/>
  <c r="I59" i="1" s="1"/>
  <c r="N57" i="6"/>
  <c r="I60" i="1" s="1"/>
  <c r="N58" i="6"/>
  <c r="I61" i="1" s="1"/>
  <c r="N59" i="6"/>
  <c r="I62" i="1" s="1"/>
  <c r="N60" i="6"/>
  <c r="I63" i="1" s="1"/>
  <c r="N61" i="6"/>
  <c r="I64" i="1" s="1"/>
  <c r="N62" i="6"/>
  <c r="I65" i="1" s="1"/>
  <c r="N63" i="6"/>
  <c r="I66" i="1" s="1"/>
  <c r="N64" i="6"/>
  <c r="I67" i="1" s="1"/>
  <c r="N65" i="6"/>
  <c r="I68" i="1" s="1"/>
  <c r="N66" i="6"/>
  <c r="I69" i="1" s="1"/>
  <c r="N67" i="6"/>
  <c r="I70" i="1" s="1"/>
  <c r="N68" i="6"/>
  <c r="I71" i="1" s="1"/>
  <c r="N69" i="6"/>
  <c r="I72" i="1" s="1"/>
  <c r="N70" i="6"/>
  <c r="I73" i="1" s="1"/>
  <c r="N71" i="6"/>
  <c r="I74" i="1" s="1"/>
  <c r="N72" i="6"/>
  <c r="I75" i="1" s="1"/>
  <c r="N73" i="6"/>
  <c r="I76" i="1" s="1"/>
  <c r="N74" i="6"/>
  <c r="I77" i="1" s="1"/>
  <c r="N75" i="6"/>
  <c r="I78" i="1" s="1"/>
  <c r="N76" i="6"/>
  <c r="I79" i="1" s="1"/>
  <c r="N77" i="6"/>
  <c r="I80" i="1" s="1"/>
  <c r="N78" i="6"/>
  <c r="I81" i="1" s="1"/>
  <c r="N79" i="6"/>
  <c r="I82" i="1" s="1"/>
  <c r="N80" i="6"/>
  <c r="I83" i="1" s="1"/>
  <c r="N81" i="6"/>
  <c r="I84" i="1" s="1"/>
  <c r="N82" i="6"/>
  <c r="I85" i="1" s="1"/>
  <c r="N83" i="6"/>
  <c r="I86" i="1" s="1"/>
  <c r="N84" i="6"/>
  <c r="I87" i="1" s="1"/>
  <c r="N85" i="6"/>
  <c r="I88" i="1" s="1"/>
  <c r="N86" i="6"/>
  <c r="I89" i="1" s="1"/>
  <c r="N87" i="6"/>
  <c r="I90" i="1" s="1"/>
  <c r="N88" i="6"/>
  <c r="I91" i="1" s="1"/>
  <c r="N89" i="6"/>
  <c r="I92" i="1" s="1"/>
  <c r="N90" i="6"/>
  <c r="I93" i="1" s="1"/>
  <c r="N91" i="6"/>
  <c r="I94" i="1" s="1"/>
  <c r="N92" i="6"/>
  <c r="I95" i="1" s="1"/>
  <c r="N93" i="6"/>
  <c r="I96" i="1" s="1"/>
  <c r="N94" i="6"/>
  <c r="I97" i="1" s="1"/>
  <c r="N95" i="6"/>
  <c r="I98" i="1" s="1"/>
  <c r="N96" i="6"/>
  <c r="I99" i="1" s="1"/>
  <c r="N97" i="6"/>
  <c r="I100" i="1" s="1"/>
  <c r="N98" i="6"/>
  <c r="I101" i="1" s="1"/>
  <c r="N99" i="6"/>
  <c r="I102" i="1" s="1"/>
  <c r="N100" i="6"/>
  <c r="I103" i="1" s="1"/>
  <c r="N101" i="6"/>
  <c r="I104" i="1" s="1"/>
  <c r="N3" i="6"/>
  <c r="I6" i="1" s="1"/>
  <c r="F102" i="8"/>
  <c r="G102" i="8"/>
  <c r="J102" i="8"/>
  <c r="I102" i="8"/>
  <c r="K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01" i="8"/>
  <c r="K3" i="8"/>
  <c r="J101" i="3"/>
  <c r="J104" i="8" l="1"/>
  <c r="J106" i="8" s="1"/>
  <c r="I104" i="8"/>
  <c r="I106" i="8" s="1"/>
  <c r="G104" i="8"/>
  <c r="G106" i="8" s="1"/>
  <c r="F104" i="8"/>
  <c r="F106" i="8" s="1"/>
  <c r="T105" i="9"/>
  <c r="T107" i="9" s="1"/>
  <c r="T109" i="9"/>
  <c r="Z109" i="9" s="1"/>
  <c r="N102" i="6"/>
  <c r="N105" i="6" s="1"/>
  <c r="J105" i="6"/>
  <c r="K102" i="8"/>
  <c r="K104" i="8" s="1"/>
  <c r="J103" i="3"/>
  <c r="F110" i="5" l="1"/>
  <c r="AB82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AF104" i="1"/>
  <c r="AF103" i="1"/>
  <c r="AF102" i="1"/>
  <c r="AF101" i="1"/>
  <c r="AF100" i="1"/>
  <c r="AF99" i="1"/>
  <c r="AF98" i="1"/>
  <c r="AF97" i="1"/>
  <c r="AF96" i="1"/>
  <c r="AF95" i="1"/>
  <c r="AF94" i="1"/>
  <c r="AF93" i="1"/>
  <c r="AF92" i="1"/>
  <c r="AF91" i="1"/>
  <c r="AF90" i="1"/>
  <c r="AF89" i="1"/>
  <c r="AF88" i="1"/>
  <c r="AF87" i="1"/>
  <c r="AF86" i="1"/>
  <c r="AF85" i="1"/>
  <c r="AF84" i="1"/>
  <c r="AF83" i="1"/>
  <c r="AF82" i="1"/>
  <c r="AF81" i="1"/>
  <c r="AF80" i="1"/>
  <c r="AF79" i="1"/>
  <c r="AF78" i="1"/>
  <c r="AF77" i="1"/>
  <c r="AF76" i="1"/>
  <c r="AF75" i="1"/>
  <c r="AF74" i="1"/>
  <c r="AF73" i="1"/>
  <c r="AF72" i="1"/>
  <c r="AF71" i="1"/>
  <c r="AF70" i="1"/>
  <c r="AF69" i="1"/>
  <c r="AF68" i="1"/>
  <c r="AF67" i="1"/>
  <c r="AF66" i="1"/>
  <c r="AF65" i="1"/>
  <c r="AF64" i="1"/>
  <c r="AF63" i="1"/>
  <c r="AF62" i="1"/>
  <c r="AF61" i="1"/>
  <c r="AF60" i="1"/>
  <c r="AF59" i="1"/>
  <c r="AF58" i="1"/>
  <c r="AF57" i="1"/>
  <c r="AF56" i="1"/>
  <c r="AF55" i="1"/>
  <c r="AF54" i="1"/>
  <c r="AF53" i="1"/>
  <c r="AF52" i="1"/>
  <c r="AF51" i="1"/>
  <c r="AF50" i="1"/>
  <c r="AF49" i="1"/>
  <c r="AF48" i="1"/>
  <c r="AF47" i="1"/>
  <c r="AF46" i="1"/>
  <c r="AF45" i="1"/>
  <c r="AF44" i="1"/>
  <c r="AF43" i="1"/>
  <c r="AF42" i="1"/>
  <c r="AF41" i="1"/>
  <c r="AF40" i="1"/>
  <c r="AF39" i="1"/>
  <c r="AF38" i="1"/>
  <c r="AF37" i="1"/>
  <c r="AF36" i="1"/>
  <c r="AF35" i="1"/>
  <c r="AF34" i="1"/>
  <c r="AF33" i="1"/>
  <c r="AF32" i="1"/>
  <c r="AF31" i="1"/>
  <c r="AF30" i="1"/>
  <c r="AF29" i="1"/>
  <c r="AF28" i="1"/>
  <c r="AF27" i="1"/>
  <c r="AF26" i="1"/>
  <c r="AF25" i="1"/>
  <c r="AF24" i="1"/>
  <c r="AF23" i="1"/>
  <c r="AF22" i="1"/>
  <c r="AF21" i="1"/>
  <c r="AF20" i="1"/>
  <c r="AF19" i="1"/>
  <c r="AF18" i="1"/>
  <c r="AF17" i="1"/>
  <c r="AF16" i="1"/>
  <c r="AF15" i="1"/>
  <c r="AF14" i="1"/>
  <c r="AF13" i="1"/>
  <c r="AF12" i="1"/>
  <c r="AF11" i="1"/>
  <c r="AF10" i="1"/>
  <c r="AF9" i="1"/>
  <c r="AF8" i="1"/>
  <c r="AF7" i="1"/>
  <c r="AF6" i="1"/>
  <c r="AB104" i="1"/>
  <c r="AB103" i="1"/>
  <c r="AB102" i="1"/>
  <c r="AB101" i="1"/>
  <c r="AB100" i="1"/>
  <c r="AB99" i="1"/>
  <c r="AB98" i="1"/>
  <c r="AB97" i="1"/>
  <c r="AB96" i="1"/>
  <c r="AB95" i="1"/>
  <c r="AB94" i="1"/>
  <c r="AB93" i="1"/>
  <c r="AB92" i="1"/>
  <c r="AB91" i="1"/>
  <c r="AB90" i="1"/>
  <c r="AB89" i="1"/>
  <c r="AB88" i="1"/>
  <c r="AB87" i="1"/>
  <c r="AB86" i="1"/>
  <c r="AB85" i="1"/>
  <c r="AB84" i="1"/>
  <c r="AB83" i="1"/>
  <c r="AB81" i="1"/>
  <c r="AB80" i="1"/>
  <c r="AB79" i="1"/>
  <c r="AB78" i="1"/>
  <c r="AB77" i="1"/>
  <c r="AB76" i="1"/>
  <c r="AB75" i="1"/>
  <c r="AB74" i="1"/>
  <c r="AB73" i="1"/>
  <c r="AB72" i="1"/>
  <c r="AB71" i="1"/>
  <c r="AB70" i="1"/>
  <c r="AB69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  <c r="X104" i="1"/>
  <c r="X103" i="1"/>
  <c r="X102" i="1"/>
  <c r="X101" i="1"/>
  <c r="X100" i="1"/>
  <c r="X99" i="1"/>
  <c r="X98" i="1"/>
  <c r="X97" i="1"/>
  <c r="X96" i="1"/>
  <c r="X95" i="1"/>
  <c r="X94" i="1"/>
  <c r="X93" i="1"/>
  <c r="X92" i="1"/>
  <c r="X91" i="1"/>
  <c r="X90" i="1"/>
  <c r="X89" i="1"/>
  <c r="X88" i="1"/>
  <c r="X87" i="1"/>
  <c r="X86" i="1"/>
  <c r="X85" i="1"/>
  <c r="X84" i="1"/>
  <c r="X83" i="1"/>
  <c r="X82" i="1"/>
  <c r="X81" i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X6" i="1"/>
  <c r="X105" i="1" l="1"/>
  <c r="AF105" i="1"/>
  <c r="P82" i="1"/>
  <c r="P105" i="1" s="1"/>
  <c r="AB105" i="1"/>
  <c r="T105" i="1"/>
  <c r="H4" i="8"/>
  <c r="J7" i="1" s="1"/>
  <c r="H5" i="8"/>
  <c r="J8" i="1" s="1"/>
  <c r="H6" i="8"/>
  <c r="J9" i="1" s="1"/>
  <c r="H7" i="8"/>
  <c r="J10" i="1" s="1"/>
  <c r="H8" i="8"/>
  <c r="J11" i="1" s="1"/>
  <c r="H9" i="8"/>
  <c r="J12" i="1" s="1"/>
  <c r="H10" i="8"/>
  <c r="J13" i="1" s="1"/>
  <c r="H11" i="8"/>
  <c r="J14" i="1" s="1"/>
  <c r="H12" i="8"/>
  <c r="J15" i="1" s="1"/>
  <c r="H13" i="8"/>
  <c r="J16" i="1" s="1"/>
  <c r="H14" i="8"/>
  <c r="J17" i="1" s="1"/>
  <c r="H15" i="8"/>
  <c r="J18" i="1" s="1"/>
  <c r="H16" i="8"/>
  <c r="J19" i="1" s="1"/>
  <c r="H17" i="8"/>
  <c r="J20" i="1" s="1"/>
  <c r="H18" i="8"/>
  <c r="J21" i="1" s="1"/>
  <c r="H19" i="8"/>
  <c r="J22" i="1" s="1"/>
  <c r="H20" i="8"/>
  <c r="J23" i="1" s="1"/>
  <c r="H21" i="8"/>
  <c r="J24" i="1" s="1"/>
  <c r="H22" i="8"/>
  <c r="J25" i="1" s="1"/>
  <c r="H23" i="8"/>
  <c r="J26" i="1" s="1"/>
  <c r="H24" i="8"/>
  <c r="J27" i="1" s="1"/>
  <c r="H25" i="8"/>
  <c r="J28" i="1" s="1"/>
  <c r="H26" i="8"/>
  <c r="J29" i="1" s="1"/>
  <c r="H27" i="8"/>
  <c r="J30" i="1" s="1"/>
  <c r="H28" i="8"/>
  <c r="J31" i="1" s="1"/>
  <c r="H29" i="8"/>
  <c r="J32" i="1" s="1"/>
  <c r="H30" i="8"/>
  <c r="J33" i="1" s="1"/>
  <c r="H31" i="8"/>
  <c r="J34" i="1" s="1"/>
  <c r="H32" i="8"/>
  <c r="J35" i="1" s="1"/>
  <c r="H33" i="8"/>
  <c r="J36" i="1" s="1"/>
  <c r="H34" i="8"/>
  <c r="J37" i="1" s="1"/>
  <c r="H35" i="8"/>
  <c r="J38" i="1" s="1"/>
  <c r="H36" i="8"/>
  <c r="J39" i="1" s="1"/>
  <c r="H37" i="8"/>
  <c r="J40" i="1" s="1"/>
  <c r="H38" i="8"/>
  <c r="J41" i="1" s="1"/>
  <c r="H39" i="8"/>
  <c r="J42" i="1" s="1"/>
  <c r="H40" i="8"/>
  <c r="J43" i="1" s="1"/>
  <c r="H41" i="8"/>
  <c r="J44" i="1" s="1"/>
  <c r="H42" i="8"/>
  <c r="J45" i="1" s="1"/>
  <c r="H43" i="8"/>
  <c r="J46" i="1" s="1"/>
  <c r="H44" i="8"/>
  <c r="J47" i="1" s="1"/>
  <c r="H45" i="8"/>
  <c r="J48" i="1" s="1"/>
  <c r="H46" i="8"/>
  <c r="J49" i="1" s="1"/>
  <c r="H47" i="8"/>
  <c r="J50" i="1" s="1"/>
  <c r="H48" i="8"/>
  <c r="J51" i="1" s="1"/>
  <c r="H49" i="8"/>
  <c r="J52" i="1" s="1"/>
  <c r="H50" i="8"/>
  <c r="J53" i="1" s="1"/>
  <c r="H51" i="8"/>
  <c r="J54" i="1" s="1"/>
  <c r="H52" i="8"/>
  <c r="J55" i="1" s="1"/>
  <c r="H53" i="8"/>
  <c r="J56" i="1" s="1"/>
  <c r="H54" i="8"/>
  <c r="J57" i="1" s="1"/>
  <c r="H55" i="8"/>
  <c r="J58" i="1" s="1"/>
  <c r="H56" i="8"/>
  <c r="J59" i="1" s="1"/>
  <c r="H57" i="8"/>
  <c r="J60" i="1" s="1"/>
  <c r="H58" i="8"/>
  <c r="J61" i="1" s="1"/>
  <c r="H59" i="8"/>
  <c r="J62" i="1" s="1"/>
  <c r="H60" i="8"/>
  <c r="J63" i="1" s="1"/>
  <c r="H61" i="8"/>
  <c r="J64" i="1" s="1"/>
  <c r="H62" i="8"/>
  <c r="J65" i="1" s="1"/>
  <c r="H63" i="8"/>
  <c r="J66" i="1" s="1"/>
  <c r="H64" i="8"/>
  <c r="J67" i="1" s="1"/>
  <c r="H65" i="8"/>
  <c r="J68" i="1" s="1"/>
  <c r="H66" i="8"/>
  <c r="J69" i="1" s="1"/>
  <c r="H67" i="8"/>
  <c r="J70" i="1" s="1"/>
  <c r="H68" i="8"/>
  <c r="J71" i="1" s="1"/>
  <c r="H69" i="8"/>
  <c r="J72" i="1" s="1"/>
  <c r="H70" i="8"/>
  <c r="J73" i="1" s="1"/>
  <c r="H71" i="8"/>
  <c r="J74" i="1" s="1"/>
  <c r="H72" i="8"/>
  <c r="J75" i="1" s="1"/>
  <c r="H73" i="8"/>
  <c r="J76" i="1" s="1"/>
  <c r="H74" i="8"/>
  <c r="J77" i="1" s="1"/>
  <c r="H75" i="8"/>
  <c r="J78" i="1" s="1"/>
  <c r="H76" i="8"/>
  <c r="J79" i="1" s="1"/>
  <c r="H77" i="8"/>
  <c r="J80" i="1" s="1"/>
  <c r="H78" i="8"/>
  <c r="J81" i="1" s="1"/>
  <c r="H79" i="8"/>
  <c r="J82" i="1" s="1"/>
  <c r="H80" i="8"/>
  <c r="J83" i="1" s="1"/>
  <c r="H81" i="8"/>
  <c r="J84" i="1" s="1"/>
  <c r="H82" i="8"/>
  <c r="J85" i="1" s="1"/>
  <c r="H83" i="8"/>
  <c r="J86" i="1" s="1"/>
  <c r="H84" i="8"/>
  <c r="J87" i="1" s="1"/>
  <c r="H85" i="8"/>
  <c r="J88" i="1" s="1"/>
  <c r="H86" i="8"/>
  <c r="J89" i="1" s="1"/>
  <c r="H87" i="8"/>
  <c r="J90" i="1" s="1"/>
  <c r="H88" i="8"/>
  <c r="J91" i="1" s="1"/>
  <c r="H89" i="8"/>
  <c r="J92" i="1" s="1"/>
  <c r="H90" i="8"/>
  <c r="J93" i="1" s="1"/>
  <c r="H91" i="8"/>
  <c r="J94" i="1" s="1"/>
  <c r="H92" i="8"/>
  <c r="J95" i="1" s="1"/>
  <c r="H93" i="8"/>
  <c r="J96" i="1" s="1"/>
  <c r="H94" i="8"/>
  <c r="J97" i="1" s="1"/>
  <c r="H95" i="8"/>
  <c r="J98" i="1" s="1"/>
  <c r="H96" i="8"/>
  <c r="J99" i="1" s="1"/>
  <c r="H97" i="8"/>
  <c r="J100" i="1" s="1"/>
  <c r="H98" i="8"/>
  <c r="J101" i="1" s="1"/>
  <c r="H99" i="8"/>
  <c r="J102" i="1" s="1"/>
  <c r="H100" i="8"/>
  <c r="J103" i="1" s="1"/>
  <c r="H101" i="8"/>
  <c r="J104" i="1" s="1"/>
  <c r="H3" i="8"/>
  <c r="J6" i="1" s="1"/>
  <c r="AH6" i="1" l="1"/>
  <c r="AG6" i="1"/>
  <c r="AG70" i="1"/>
  <c r="AH70" i="1"/>
  <c r="AG22" i="1"/>
  <c r="AH22" i="1"/>
  <c r="AG93" i="1"/>
  <c r="AH93" i="1"/>
  <c r="AH85" i="1"/>
  <c r="AG85" i="1"/>
  <c r="AG77" i="1"/>
  <c r="AH77" i="1"/>
  <c r="AH69" i="1"/>
  <c r="AG69" i="1"/>
  <c r="AH61" i="1"/>
  <c r="AG61" i="1"/>
  <c r="AH53" i="1"/>
  <c r="AG53" i="1"/>
  <c r="AH45" i="1"/>
  <c r="AG45" i="1"/>
  <c r="AG37" i="1"/>
  <c r="AH37" i="1"/>
  <c r="AH29" i="1"/>
  <c r="AG29" i="1"/>
  <c r="AG21" i="1"/>
  <c r="AH21" i="1"/>
  <c r="AH13" i="1"/>
  <c r="AG13" i="1"/>
  <c r="AG78" i="1"/>
  <c r="AH78" i="1"/>
  <c r="AG30" i="1"/>
  <c r="AH30" i="1"/>
  <c r="AH84" i="1"/>
  <c r="AG84" i="1"/>
  <c r="AG76" i="1"/>
  <c r="AH76" i="1"/>
  <c r="AH68" i="1"/>
  <c r="AG68" i="1"/>
  <c r="AG60" i="1"/>
  <c r="AH60" i="1"/>
  <c r="AH52" i="1"/>
  <c r="AG52" i="1"/>
  <c r="AH44" i="1"/>
  <c r="AG44" i="1"/>
  <c r="AH36" i="1"/>
  <c r="AG36" i="1"/>
  <c r="AH28" i="1"/>
  <c r="AG28" i="1"/>
  <c r="AH20" i="1"/>
  <c r="AG20" i="1"/>
  <c r="AH12" i="1"/>
  <c r="AG12" i="1"/>
  <c r="AH102" i="1"/>
  <c r="AG102" i="1"/>
  <c r="AH46" i="1"/>
  <c r="AG46" i="1"/>
  <c r="AH101" i="1"/>
  <c r="AG101" i="1"/>
  <c r="AH99" i="1"/>
  <c r="AG99" i="1"/>
  <c r="AH83" i="1"/>
  <c r="AG83" i="1"/>
  <c r="AH75" i="1"/>
  <c r="AG75" i="1"/>
  <c r="AG67" i="1"/>
  <c r="AH67" i="1"/>
  <c r="AG59" i="1"/>
  <c r="AH59" i="1"/>
  <c r="AG51" i="1"/>
  <c r="AH51" i="1"/>
  <c r="AH43" i="1"/>
  <c r="AG43" i="1"/>
  <c r="AH35" i="1"/>
  <c r="AG35" i="1"/>
  <c r="AH27" i="1"/>
  <c r="AG27" i="1"/>
  <c r="AH19" i="1"/>
  <c r="AG19" i="1"/>
  <c r="AH11" i="1"/>
  <c r="AG11" i="1"/>
  <c r="AG86" i="1"/>
  <c r="AH86" i="1"/>
  <c r="AH38" i="1"/>
  <c r="AG38" i="1"/>
  <c r="AH92" i="1"/>
  <c r="AG92" i="1"/>
  <c r="AG91" i="1"/>
  <c r="AH91" i="1"/>
  <c r="AH98" i="1"/>
  <c r="AG98" i="1"/>
  <c r="AH90" i="1"/>
  <c r="AG90" i="1"/>
  <c r="AG82" i="1"/>
  <c r="AH82" i="1"/>
  <c r="AH74" i="1"/>
  <c r="AG74" i="1"/>
  <c r="AH66" i="1"/>
  <c r="AG66" i="1"/>
  <c r="AG58" i="1"/>
  <c r="AH58" i="1"/>
  <c r="AG50" i="1"/>
  <c r="AH50" i="1"/>
  <c r="AH42" i="1"/>
  <c r="AG42" i="1"/>
  <c r="AG34" i="1"/>
  <c r="AH34" i="1"/>
  <c r="AH26" i="1"/>
  <c r="AG26" i="1"/>
  <c r="AH18" i="1"/>
  <c r="AG18" i="1"/>
  <c r="AH10" i="1"/>
  <c r="AG10" i="1"/>
  <c r="AG62" i="1"/>
  <c r="AH62" i="1"/>
  <c r="AG14" i="1"/>
  <c r="AH14" i="1"/>
  <c r="AG97" i="1"/>
  <c r="AH97" i="1"/>
  <c r="AH89" i="1"/>
  <c r="AG89" i="1"/>
  <c r="AG81" i="1"/>
  <c r="AH81" i="1"/>
  <c r="AH73" i="1"/>
  <c r="AG73" i="1"/>
  <c r="AH65" i="1"/>
  <c r="AG65" i="1"/>
  <c r="AG57" i="1"/>
  <c r="AH57" i="1"/>
  <c r="AH49" i="1"/>
  <c r="AG49" i="1"/>
  <c r="AG41" i="1"/>
  <c r="AH41" i="1"/>
  <c r="AG33" i="1"/>
  <c r="AH33" i="1"/>
  <c r="AH25" i="1"/>
  <c r="AG25" i="1"/>
  <c r="AG17" i="1"/>
  <c r="AH17" i="1"/>
  <c r="AH9" i="1"/>
  <c r="AG9" i="1"/>
  <c r="AG104" i="1"/>
  <c r="AH104" i="1"/>
  <c r="AG96" i="1"/>
  <c r="AH96" i="1"/>
  <c r="AH88" i="1"/>
  <c r="AG88" i="1"/>
  <c r="AH80" i="1"/>
  <c r="AG80" i="1"/>
  <c r="AH72" i="1"/>
  <c r="AG72" i="1"/>
  <c r="AG64" i="1"/>
  <c r="AH64" i="1"/>
  <c r="AH56" i="1"/>
  <c r="AG56" i="1"/>
  <c r="AG48" i="1"/>
  <c r="AH48" i="1"/>
  <c r="AG40" i="1"/>
  <c r="AH40" i="1"/>
  <c r="AG32" i="1"/>
  <c r="AH32" i="1"/>
  <c r="AH24" i="1"/>
  <c r="AG24" i="1"/>
  <c r="AG16" i="1"/>
  <c r="AH16" i="1"/>
  <c r="AG8" i="1"/>
  <c r="AH8" i="1"/>
  <c r="AG94" i="1"/>
  <c r="AH94" i="1"/>
  <c r="AH54" i="1"/>
  <c r="AG54" i="1"/>
  <c r="AH100" i="1"/>
  <c r="AG100" i="1"/>
  <c r="AG103" i="1"/>
  <c r="AH103" i="1"/>
  <c r="AH95" i="1"/>
  <c r="AG95" i="1"/>
  <c r="AH87" i="1"/>
  <c r="AG87" i="1"/>
  <c r="AH79" i="1"/>
  <c r="AG79" i="1"/>
  <c r="AG71" i="1"/>
  <c r="AH71" i="1"/>
  <c r="AG63" i="1"/>
  <c r="AH63" i="1"/>
  <c r="AG55" i="1"/>
  <c r="AH55" i="1"/>
  <c r="AH47" i="1"/>
  <c r="AG47" i="1"/>
  <c r="AG39" i="1"/>
  <c r="AH39" i="1"/>
  <c r="AG31" i="1"/>
  <c r="AH31" i="1"/>
  <c r="AG23" i="1"/>
  <c r="AH23" i="1"/>
  <c r="AG15" i="1"/>
  <c r="AH15" i="1"/>
  <c r="AG7" i="1"/>
  <c r="AH7" i="1"/>
  <c r="H102" i="8"/>
  <c r="H104" i="8" s="1"/>
  <c r="E110" i="5" l="1"/>
  <c r="O104" i="1"/>
  <c r="N104" i="1"/>
  <c r="M104" i="1"/>
  <c r="O103" i="1"/>
  <c r="N103" i="1"/>
  <c r="M103" i="1"/>
  <c r="O102" i="1"/>
  <c r="N102" i="1"/>
  <c r="M102" i="1"/>
  <c r="O101" i="1"/>
  <c r="N101" i="1"/>
  <c r="M101" i="1"/>
  <c r="O100" i="1"/>
  <c r="N100" i="1"/>
  <c r="M100" i="1"/>
  <c r="O99" i="1"/>
  <c r="N99" i="1"/>
  <c r="M99" i="1"/>
  <c r="O98" i="1"/>
  <c r="N98" i="1"/>
  <c r="M98" i="1"/>
  <c r="O97" i="1"/>
  <c r="N97" i="1"/>
  <c r="M97" i="1"/>
  <c r="O96" i="1"/>
  <c r="N96" i="1"/>
  <c r="M96" i="1"/>
  <c r="O95" i="1"/>
  <c r="N95" i="1"/>
  <c r="M95" i="1"/>
  <c r="O94" i="1"/>
  <c r="N94" i="1"/>
  <c r="M94" i="1"/>
  <c r="O93" i="1"/>
  <c r="N93" i="1"/>
  <c r="M93" i="1"/>
  <c r="O92" i="1"/>
  <c r="N92" i="1"/>
  <c r="M92" i="1"/>
  <c r="O91" i="1"/>
  <c r="N91" i="1"/>
  <c r="M91" i="1"/>
  <c r="O90" i="1"/>
  <c r="N90" i="1"/>
  <c r="M90" i="1"/>
  <c r="O89" i="1"/>
  <c r="N89" i="1"/>
  <c r="M89" i="1"/>
  <c r="O88" i="1"/>
  <c r="N88" i="1"/>
  <c r="M88" i="1"/>
  <c r="O87" i="1"/>
  <c r="N87" i="1"/>
  <c r="M87" i="1"/>
  <c r="O86" i="1"/>
  <c r="N86" i="1"/>
  <c r="M86" i="1"/>
  <c r="O85" i="1"/>
  <c r="N85" i="1"/>
  <c r="M85" i="1"/>
  <c r="O84" i="1"/>
  <c r="N84" i="1"/>
  <c r="M84" i="1"/>
  <c r="O83" i="1"/>
  <c r="N83" i="1"/>
  <c r="M83" i="1"/>
  <c r="O82" i="1"/>
  <c r="N82" i="1"/>
  <c r="M82" i="1"/>
  <c r="O81" i="1"/>
  <c r="N81" i="1"/>
  <c r="M81" i="1"/>
  <c r="O80" i="1"/>
  <c r="N80" i="1"/>
  <c r="M80" i="1"/>
  <c r="O79" i="1"/>
  <c r="N79" i="1"/>
  <c r="M79" i="1"/>
  <c r="O78" i="1"/>
  <c r="N78" i="1"/>
  <c r="M78" i="1"/>
  <c r="O77" i="1"/>
  <c r="N77" i="1"/>
  <c r="M77" i="1"/>
  <c r="O76" i="1"/>
  <c r="N76" i="1"/>
  <c r="M76" i="1"/>
  <c r="O75" i="1"/>
  <c r="N75" i="1"/>
  <c r="M75" i="1"/>
  <c r="O74" i="1"/>
  <c r="N74" i="1"/>
  <c r="M74" i="1"/>
  <c r="O73" i="1"/>
  <c r="N73" i="1"/>
  <c r="M73" i="1"/>
  <c r="O72" i="1"/>
  <c r="N72" i="1"/>
  <c r="M72" i="1"/>
  <c r="O71" i="1"/>
  <c r="N71" i="1"/>
  <c r="M71" i="1"/>
  <c r="O70" i="1"/>
  <c r="N70" i="1"/>
  <c r="M70" i="1"/>
  <c r="O69" i="1"/>
  <c r="N69" i="1"/>
  <c r="M69" i="1"/>
  <c r="O68" i="1"/>
  <c r="N68" i="1"/>
  <c r="M68" i="1"/>
  <c r="O67" i="1"/>
  <c r="N67" i="1"/>
  <c r="M67" i="1"/>
  <c r="O66" i="1"/>
  <c r="N66" i="1"/>
  <c r="M66" i="1"/>
  <c r="O65" i="1"/>
  <c r="N65" i="1"/>
  <c r="M65" i="1"/>
  <c r="O64" i="1"/>
  <c r="N64" i="1"/>
  <c r="M64" i="1"/>
  <c r="O63" i="1"/>
  <c r="N63" i="1"/>
  <c r="M63" i="1"/>
  <c r="O62" i="1"/>
  <c r="N62" i="1"/>
  <c r="M62" i="1"/>
  <c r="O61" i="1"/>
  <c r="N61" i="1"/>
  <c r="M61" i="1"/>
  <c r="O60" i="1"/>
  <c r="N60" i="1"/>
  <c r="M60" i="1"/>
  <c r="O59" i="1"/>
  <c r="N59" i="1"/>
  <c r="M59" i="1"/>
  <c r="O58" i="1"/>
  <c r="N58" i="1"/>
  <c r="M58" i="1"/>
  <c r="O57" i="1"/>
  <c r="N57" i="1"/>
  <c r="M57" i="1"/>
  <c r="O56" i="1"/>
  <c r="N56" i="1"/>
  <c r="M56" i="1"/>
  <c r="O55" i="1"/>
  <c r="N55" i="1"/>
  <c r="M55" i="1"/>
  <c r="O54" i="1"/>
  <c r="N54" i="1"/>
  <c r="M54" i="1"/>
  <c r="O53" i="1"/>
  <c r="N53" i="1"/>
  <c r="M53" i="1"/>
  <c r="O52" i="1"/>
  <c r="N52" i="1"/>
  <c r="M52" i="1"/>
  <c r="O51" i="1"/>
  <c r="N51" i="1"/>
  <c r="M51" i="1"/>
  <c r="O50" i="1"/>
  <c r="N50" i="1"/>
  <c r="M50" i="1"/>
  <c r="O49" i="1"/>
  <c r="N49" i="1"/>
  <c r="M49" i="1"/>
  <c r="O48" i="1"/>
  <c r="N48" i="1"/>
  <c r="M48" i="1"/>
  <c r="O47" i="1"/>
  <c r="N47" i="1"/>
  <c r="M47" i="1"/>
  <c r="O46" i="1"/>
  <c r="N46" i="1"/>
  <c r="M46" i="1"/>
  <c r="O45" i="1"/>
  <c r="N45" i="1"/>
  <c r="M45" i="1"/>
  <c r="O44" i="1"/>
  <c r="N44" i="1"/>
  <c r="M44" i="1"/>
  <c r="O43" i="1"/>
  <c r="N43" i="1"/>
  <c r="M43" i="1"/>
  <c r="O42" i="1"/>
  <c r="N42" i="1"/>
  <c r="M42" i="1"/>
  <c r="O41" i="1"/>
  <c r="N41" i="1"/>
  <c r="M41" i="1"/>
  <c r="O40" i="1"/>
  <c r="N40" i="1"/>
  <c r="M40" i="1"/>
  <c r="O39" i="1"/>
  <c r="N39" i="1"/>
  <c r="M39" i="1"/>
  <c r="O38" i="1"/>
  <c r="N38" i="1"/>
  <c r="M38" i="1"/>
  <c r="O37" i="1"/>
  <c r="N37" i="1"/>
  <c r="M37" i="1"/>
  <c r="O36" i="1"/>
  <c r="N36" i="1"/>
  <c r="M36" i="1"/>
  <c r="O35" i="1"/>
  <c r="N35" i="1"/>
  <c r="M35" i="1"/>
  <c r="O34" i="1"/>
  <c r="N34" i="1"/>
  <c r="M34" i="1"/>
  <c r="O33" i="1"/>
  <c r="N33" i="1"/>
  <c r="M33" i="1"/>
  <c r="O32" i="1"/>
  <c r="N32" i="1"/>
  <c r="M32" i="1"/>
  <c r="O31" i="1"/>
  <c r="N31" i="1"/>
  <c r="M31" i="1"/>
  <c r="O30" i="1"/>
  <c r="N30" i="1"/>
  <c r="M30" i="1"/>
  <c r="O29" i="1"/>
  <c r="N29" i="1"/>
  <c r="M29" i="1"/>
  <c r="O28" i="1"/>
  <c r="N28" i="1"/>
  <c r="M28" i="1"/>
  <c r="O27" i="1"/>
  <c r="N27" i="1"/>
  <c r="M27" i="1"/>
  <c r="O26" i="1"/>
  <c r="N26" i="1"/>
  <c r="M26" i="1"/>
  <c r="O25" i="1"/>
  <c r="N25" i="1"/>
  <c r="M25" i="1"/>
  <c r="O24" i="1"/>
  <c r="N24" i="1"/>
  <c r="M24" i="1"/>
  <c r="O23" i="1"/>
  <c r="N23" i="1"/>
  <c r="M23" i="1"/>
  <c r="O22" i="1"/>
  <c r="N22" i="1"/>
  <c r="M22" i="1"/>
  <c r="O21" i="1"/>
  <c r="N21" i="1"/>
  <c r="M21" i="1"/>
  <c r="O20" i="1"/>
  <c r="N20" i="1"/>
  <c r="M20" i="1"/>
  <c r="O19" i="1"/>
  <c r="N19" i="1"/>
  <c r="M19" i="1"/>
  <c r="O18" i="1"/>
  <c r="N18" i="1"/>
  <c r="M18" i="1"/>
  <c r="O17" i="1"/>
  <c r="N17" i="1"/>
  <c r="M17" i="1"/>
  <c r="O16" i="1"/>
  <c r="N16" i="1"/>
  <c r="M16" i="1"/>
  <c r="O15" i="1"/>
  <c r="N15" i="1"/>
  <c r="M15" i="1"/>
  <c r="O14" i="1"/>
  <c r="N14" i="1"/>
  <c r="M14" i="1"/>
  <c r="O13" i="1"/>
  <c r="N13" i="1"/>
  <c r="M13" i="1"/>
  <c r="O12" i="1"/>
  <c r="N12" i="1"/>
  <c r="M12" i="1"/>
  <c r="O11" i="1"/>
  <c r="N11" i="1"/>
  <c r="M11" i="1"/>
  <c r="O10" i="1"/>
  <c r="N10" i="1"/>
  <c r="M10" i="1"/>
  <c r="O9" i="1"/>
  <c r="N9" i="1"/>
  <c r="M9" i="1"/>
  <c r="O8" i="1"/>
  <c r="N8" i="1"/>
  <c r="M8" i="1"/>
  <c r="O7" i="1"/>
  <c r="N7" i="1"/>
  <c r="M7" i="1"/>
  <c r="O6" i="1"/>
  <c r="M6" i="1"/>
  <c r="Q32" i="1"/>
  <c r="R32" i="1"/>
  <c r="S32" i="1"/>
  <c r="H107" i="9" l="1"/>
  <c r="C103" i="5"/>
  <c r="E103" i="5" l="1"/>
  <c r="E106" i="5" s="1"/>
  <c r="F103" i="5"/>
  <c r="F106" i="5" s="1"/>
  <c r="G103" i="5"/>
  <c r="G106" i="5" s="1"/>
  <c r="D103" i="5" l="1"/>
  <c r="D106" i="5" s="1"/>
  <c r="C102" i="7"/>
  <c r="C102" i="6"/>
  <c r="C108" i="7" l="1"/>
  <c r="D108" i="7" s="1"/>
  <c r="E108" i="7" s="1"/>
  <c r="F108" i="7" s="1"/>
  <c r="C105" i="7"/>
  <c r="J107" i="6"/>
  <c r="N107" i="6" s="1"/>
  <c r="R107" i="6" s="1"/>
  <c r="C105" i="6"/>
  <c r="D110" i="5"/>
  <c r="H109" i="8"/>
  <c r="K109" i="8" s="1"/>
  <c r="N109" i="8" s="1"/>
  <c r="H105" i="1" l="1"/>
  <c r="Q104" i="1" l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W104" i="1"/>
  <c r="W103" i="1"/>
  <c r="W102" i="1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Y104" i="1"/>
  <c r="Y103" i="1"/>
  <c r="Y102" i="1"/>
  <c r="Y101" i="1"/>
  <c r="Y100" i="1"/>
  <c r="Y99" i="1"/>
  <c r="Y98" i="1"/>
  <c r="Y97" i="1"/>
  <c r="Y96" i="1"/>
  <c r="Y95" i="1"/>
  <c r="Y94" i="1"/>
  <c r="Y93" i="1"/>
  <c r="Y92" i="1"/>
  <c r="Y91" i="1"/>
  <c r="Y88" i="1"/>
  <c r="Y87" i="1"/>
  <c r="Y86" i="1"/>
  <c r="Y85" i="1"/>
  <c r="Y84" i="1"/>
  <c r="Y83" i="1"/>
  <c r="Y82" i="1"/>
  <c r="Y81" i="1"/>
  <c r="Y80" i="1"/>
  <c r="Y79" i="1"/>
  <c r="Y78" i="1"/>
  <c r="Y77" i="1"/>
  <c r="Y76" i="1"/>
  <c r="Y75" i="1"/>
  <c r="Y74" i="1"/>
  <c r="Y72" i="1"/>
  <c r="Y71" i="1"/>
  <c r="Y70" i="1"/>
  <c r="Y69" i="1"/>
  <c r="Y67" i="1"/>
  <c r="Y66" i="1"/>
  <c r="Y65" i="1"/>
  <c r="Y64" i="1"/>
  <c r="Y63" i="1"/>
  <c r="Y61" i="1"/>
  <c r="Y59" i="1"/>
  <c r="Y58" i="1"/>
  <c r="Y57" i="1"/>
  <c r="Y56" i="1"/>
  <c r="Y55" i="1"/>
  <c r="Y53" i="1"/>
  <c r="Y52" i="1"/>
  <c r="Y50" i="1"/>
  <c r="Y49" i="1"/>
  <c r="Y48" i="1"/>
  <c r="Y47" i="1"/>
  <c r="Y44" i="1"/>
  <c r="Y43" i="1"/>
  <c r="Y42" i="1"/>
  <c r="Y39" i="1"/>
  <c r="Y38" i="1"/>
  <c r="Y36" i="1"/>
  <c r="Y35" i="1"/>
  <c r="Y34" i="1"/>
  <c r="Y33" i="1"/>
  <c r="Y32" i="1"/>
  <c r="Y31" i="1"/>
  <c r="Y30" i="1"/>
  <c r="Y28" i="1"/>
  <c r="Y27" i="1"/>
  <c r="Y26" i="1"/>
  <c r="Y25" i="1"/>
  <c r="Y24" i="1"/>
  <c r="Y23" i="1"/>
  <c r="Y22" i="1"/>
  <c r="Y21" i="1"/>
  <c r="Y20" i="1"/>
  <c r="Y19" i="1"/>
  <c r="Y18" i="1"/>
  <c r="Y16" i="1"/>
  <c r="Y15" i="1"/>
  <c r="Y14" i="1"/>
  <c r="Y13" i="1"/>
  <c r="Y12" i="1"/>
  <c r="Y11" i="1"/>
  <c r="Y10" i="1"/>
  <c r="Y9" i="1"/>
  <c r="Y8" i="1"/>
  <c r="Y7" i="1"/>
  <c r="Y6" i="1"/>
  <c r="AA104" i="1"/>
  <c r="AA103" i="1"/>
  <c r="AA102" i="1"/>
  <c r="AA101" i="1"/>
  <c r="AA100" i="1"/>
  <c r="AA99" i="1"/>
  <c r="AA98" i="1"/>
  <c r="AA97" i="1"/>
  <c r="AA96" i="1"/>
  <c r="AA95" i="1"/>
  <c r="AA94" i="1"/>
  <c r="AA93" i="1"/>
  <c r="AA92" i="1"/>
  <c r="AA91" i="1"/>
  <c r="AA89" i="1"/>
  <c r="AA88" i="1"/>
  <c r="AA87" i="1"/>
  <c r="AA86" i="1"/>
  <c r="AA85" i="1"/>
  <c r="AA84" i="1"/>
  <c r="AA83" i="1"/>
  <c r="AA82" i="1"/>
  <c r="AA81" i="1"/>
  <c r="AA80" i="1"/>
  <c r="AA79" i="1"/>
  <c r="AA78" i="1"/>
  <c r="AA77" i="1"/>
  <c r="AA76" i="1"/>
  <c r="AA75" i="1"/>
  <c r="AA74" i="1"/>
  <c r="AA72" i="1"/>
  <c r="AA71" i="1"/>
  <c r="AA70" i="1"/>
  <c r="AA69" i="1"/>
  <c r="AA68" i="1"/>
  <c r="AA67" i="1"/>
  <c r="AA66" i="1"/>
  <c r="AA65" i="1"/>
  <c r="AA64" i="1"/>
  <c r="AA63" i="1"/>
  <c r="AA62" i="1"/>
  <c r="AA61" i="1"/>
  <c r="AA59" i="1"/>
  <c r="AA58" i="1"/>
  <c r="AA57" i="1"/>
  <c r="AA56" i="1"/>
  <c r="AA55" i="1"/>
  <c r="AA54" i="1"/>
  <c r="AA53" i="1"/>
  <c r="AA52" i="1"/>
  <c r="AA50" i="1"/>
  <c r="AA49" i="1"/>
  <c r="AA48" i="1"/>
  <c r="AA47" i="1"/>
  <c r="AA45" i="1"/>
  <c r="AA44" i="1"/>
  <c r="AA43" i="1"/>
  <c r="AA42" i="1"/>
  <c r="AA40" i="1"/>
  <c r="AA39" i="1"/>
  <c r="AA38" i="1"/>
  <c r="AA36" i="1"/>
  <c r="AA35" i="1"/>
  <c r="AA34" i="1"/>
  <c r="AA33" i="1"/>
  <c r="AA32" i="1"/>
  <c r="AA31" i="1"/>
  <c r="AA30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AA7" i="1"/>
  <c r="AA6" i="1"/>
  <c r="AC104" i="1"/>
  <c r="AC103" i="1"/>
  <c r="AC102" i="1"/>
  <c r="AC101" i="1"/>
  <c r="AC100" i="1"/>
  <c r="AC99" i="1"/>
  <c r="AC98" i="1"/>
  <c r="AC97" i="1"/>
  <c r="AC96" i="1"/>
  <c r="AC95" i="1"/>
  <c r="AC94" i="1"/>
  <c r="AC93" i="1"/>
  <c r="AC92" i="1"/>
  <c r="AC91" i="1"/>
  <c r="AC90" i="1"/>
  <c r="AC89" i="1"/>
  <c r="AC88" i="1"/>
  <c r="AC87" i="1"/>
  <c r="AC86" i="1"/>
  <c r="AC85" i="1"/>
  <c r="AC84" i="1"/>
  <c r="AC83" i="1"/>
  <c r="AC82" i="1"/>
  <c r="AC81" i="1"/>
  <c r="AC79" i="1"/>
  <c r="AC78" i="1"/>
  <c r="AC77" i="1"/>
  <c r="AC76" i="1"/>
  <c r="AC75" i="1"/>
  <c r="AC74" i="1"/>
  <c r="AC73" i="1"/>
  <c r="AC72" i="1"/>
  <c r="AC71" i="1"/>
  <c r="AC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C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AE104" i="1"/>
  <c r="AE103" i="1"/>
  <c r="AE102" i="1"/>
  <c r="AE101" i="1"/>
  <c r="AE100" i="1"/>
  <c r="AE99" i="1"/>
  <c r="AE98" i="1"/>
  <c r="AE97" i="1"/>
  <c r="AE96" i="1"/>
  <c r="AE95" i="1"/>
  <c r="AE94" i="1"/>
  <c r="AE93" i="1"/>
  <c r="AE92" i="1"/>
  <c r="AE91" i="1"/>
  <c r="AE90" i="1"/>
  <c r="AE89" i="1"/>
  <c r="AE88" i="1"/>
  <c r="AE87" i="1"/>
  <c r="AE86" i="1"/>
  <c r="AE85" i="1"/>
  <c r="AE84" i="1"/>
  <c r="AE83" i="1"/>
  <c r="AE82" i="1"/>
  <c r="AE81" i="1"/>
  <c r="AE79" i="1"/>
  <c r="AE78" i="1"/>
  <c r="AE77" i="1"/>
  <c r="AE76" i="1"/>
  <c r="AE75" i="1"/>
  <c r="AE74" i="1"/>
  <c r="AE73" i="1"/>
  <c r="AE72" i="1"/>
  <c r="AE71" i="1"/>
  <c r="AE70" i="1"/>
  <c r="AE69" i="1"/>
  <c r="AE68" i="1"/>
  <c r="AE67" i="1"/>
  <c r="AE66" i="1"/>
  <c r="AE65" i="1"/>
  <c r="AE64" i="1"/>
  <c r="AE63" i="1"/>
  <c r="AE62" i="1"/>
  <c r="AE61" i="1"/>
  <c r="AE60" i="1"/>
  <c r="AE59" i="1"/>
  <c r="AE58" i="1"/>
  <c r="AE57" i="1"/>
  <c r="AE56" i="1"/>
  <c r="AE55" i="1"/>
  <c r="AE54" i="1"/>
  <c r="AE53" i="1"/>
  <c r="AE52" i="1"/>
  <c r="AE51" i="1"/>
  <c r="AE50" i="1"/>
  <c r="AE49" i="1"/>
  <c r="AE48" i="1"/>
  <c r="AE47" i="1"/>
  <c r="AE46" i="1"/>
  <c r="AE45" i="1"/>
  <c r="AE44" i="1"/>
  <c r="AE43" i="1"/>
  <c r="AE42" i="1"/>
  <c r="AE41" i="1"/>
  <c r="AE40" i="1"/>
  <c r="AE39" i="1"/>
  <c r="AE38" i="1"/>
  <c r="AE37" i="1"/>
  <c r="AE36" i="1"/>
  <c r="AE35" i="1"/>
  <c r="AE34" i="1"/>
  <c r="AE33" i="1"/>
  <c r="AE32" i="1"/>
  <c r="AE30" i="1"/>
  <c r="AE29" i="1"/>
  <c r="AE28" i="1"/>
  <c r="AE27" i="1"/>
  <c r="AE26" i="1"/>
  <c r="AE25" i="1"/>
  <c r="AE24" i="1"/>
  <c r="AE23" i="1"/>
  <c r="AE22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E8" i="1"/>
  <c r="AE7" i="1"/>
  <c r="AE6" i="1"/>
  <c r="CZ105" i="1"/>
  <c r="DA105" i="1"/>
  <c r="DB105" i="1"/>
  <c r="U41" i="1" l="1"/>
  <c r="W41" i="1"/>
  <c r="AC31" i="1" l="1"/>
  <c r="AE31" i="1"/>
  <c r="AE80" i="1"/>
  <c r="AC80" i="1"/>
  <c r="Y73" i="1" l="1"/>
  <c r="AA73" i="1"/>
  <c r="Y89" i="1"/>
  <c r="AA60" i="1"/>
  <c r="Y60" i="1"/>
  <c r="Y17" i="1" l="1"/>
  <c r="AA37" i="1"/>
  <c r="AA41" i="1"/>
  <c r="Y40" i="1"/>
  <c r="Y37" i="1"/>
  <c r="Y62" i="1"/>
  <c r="Y41" i="1"/>
  <c r="CV105" i="1"/>
  <c r="CW105" i="1"/>
  <c r="CX105" i="1"/>
  <c r="AD104" i="1" l="1"/>
  <c r="AD103" i="1"/>
  <c r="AD102" i="1"/>
  <c r="AD101" i="1"/>
  <c r="AD100" i="1"/>
  <c r="AD99" i="1"/>
  <c r="AD98" i="1"/>
  <c r="AD97" i="1"/>
  <c r="AD96" i="1"/>
  <c r="AD95" i="1"/>
  <c r="AD94" i="1"/>
  <c r="AD93" i="1"/>
  <c r="AD92" i="1"/>
  <c r="AD91" i="1"/>
  <c r="AD90" i="1"/>
  <c r="AD89" i="1"/>
  <c r="AD88" i="1"/>
  <c r="AD87" i="1"/>
  <c r="AD86" i="1"/>
  <c r="AD85" i="1"/>
  <c r="AD84" i="1"/>
  <c r="AD83" i="1"/>
  <c r="AD82" i="1"/>
  <c r="AD81" i="1"/>
  <c r="AD80" i="1"/>
  <c r="AD79" i="1"/>
  <c r="AD78" i="1"/>
  <c r="AD77" i="1"/>
  <c r="AD76" i="1"/>
  <c r="AD75" i="1"/>
  <c r="AD74" i="1"/>
  <c r="AD73" i="1"/>
  <c r="AD72" i="1"/>
  <c r="AD71" i="1"/>
  <c r="AD70" i="1"/>
  <c r="AD69" i="1"/>
  <c r="AD68" i="1"/>
  <c r="AD67" i="1"/>
  <c r="AD66" i="1"/>
  <c r="AD65" i="1"/>
  <c r="AD64" i="1"/>
  <c r="AD63" i="1"/>
  <c r="AD62" i="1"/>
  <c r="AD61" i="1"/>
  <c r="AD60" i="1"/>
  <c r="AD59" i="1"/>
  <c r="AD58" i="1"/>
  <c r="AD57" i="1"/>
  <c r="AD56" i="1"/>
  <c r="AD55" i="1"/>
  <c r="AD54" i="1"/>
  <c r="AD53" i="1"/>
  <c r="AD52" i="1"/>
  <c r="AD51" i="1"/>
  <c r="AD50" i="1"/>
  <c r="AD49" i="1"/>
  <c r="AD48" i="1"/>
  <c r="AD47" i="1"/>
  <c r="AD46" i="1"/>
  <c r="AD45" i="1"/>
  <c r="AD44" i="1"/>
  <c r="AD43" i="1"/>
  <c r="AD42" i="1"/>
  <c r="AD41" i="1"/>
  <c r="AD40" i="1"/>
  <c r="AD39" i="1"/>
  <c r="AD38" i="1"/>
  <c r="AD37" i="1"/>
  <c r="AD36" i="1"/>
  <c r="AD35" i="1"/>
  <c r="AD34" i="1"/>
  <c r="AD33" i="1"/>
  <c r="AD32" i="1"/>
  <c r="AD31" i="1"/>
  <c r="AD30" i="1"/>
  <c r="AD29" i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AD8" i="1"/>
  <c r="AD7" i="1"/>
  <c r="AD6" i="1"/>
  <c r="Z104" i="1"/>
  <c r="Z103" i="1"/>
  <c r="Z102" i="1"/>
  <c r="Z101" i="1"/>
  <c r="Z100" i="1"/>
  <c r="Z99" i="1"/>
  <c r="Z98" i="1"/>
  <c r="Z97" i="1"/>
  <c r="Z96" i="1"/>
  <c r="Z95" i="1"/>
  <c r="Z94" i="1"/>
  <c r="Z93" i="1"/>
  <c r="Z92" i="1"/>
  <c r="Z91" i="1"/>
  <c r="Z90" i="1"/>
  <c r="Z89" i="1"/>
  <c r="Z88" i="1"/>
  <c r="Z87" i="1"/>
  <c r="Z86" i="1"/>
  <c r="Z85" i="1"/>
  <c r="Z84" i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V104" i="1"/>
  <c r="R104" i="1"/>
  <c r="V103" i="1"/>
  <c r="R103" i="1"/>
  <c r="V102" i="1"/>
  <c r="R102" i="1"/>
  <c r="V101" i="1"/>
  <c r="R101" i="1"/>
  <c r="V100" i="1"/>
  <c r="R100" i="1"/>
  <c r="V99" i="1"/>
  <c r="R99" i="1"/>
  <c r="V98" i="1"/>
  <c r="R98" i="1"/>
  <c r="V97" i="1"/>
  <c r="R97" i="1"/>
  <c r="V96" i="1"/>
  <c r="R96" i="1"/>
  <c r="V95" i="1"/>
  <c r="R95" i="1"/>
  <c r="V94" i="1"/>
  <c r="R94" i="1"/>
  <c r="V93" i="1"/>
  <c r="R93" i="1"/>
  <c r="V92" i="1"/>
  <c r="R92" i="1"/>
  <c r="V91" i="1"/>
  <c r="R91" i="1"/>
  <c r="V90" i="1"/>
  <c r="R90" i="1"/>
  <c r="V89" i="1"/>
  <c r="R89" i="1"/>
  <c r="V88" i="1"/>
  <c r="R88" i="1"/>
  <c r="V87" i="1"/>
  <c r="R87" i="1"/>
  <c r="V86" i="1"/>
  <c r="R86" i="1"/>
  <c r="V85" i="1"/>
  <c r="R85" i="1"/>
  <c r="V84" i="1"/>
  <c r="R84" i="1"/>
  <c r="V83" i="1"/>
  <c r="R83" i="1"/>
  <c r="R82" i="1"/>
  <c r="V81" i="1"/>
  <c r="R81" i="1"/>
  <c r="V80" i="1"/>
  <c r="R80" i="1"/>
  <c r="V79" i="1"/>
  <c r="R79" i="1"/>
  <c r="V78" i="1"/>
  <c r="R78" i="1"/>
  <c r="V77" i="1"/>
  <c r="R77" i="1"/>
  <c r="V76" i="1"/>
  <c r="R76" i="1"/>
  <c r="V75" i="1"/>
  <c r="R75" i="1"/>
  <c r="V74" i="1"/>
  <c r="R74" i="1"/>
  <c r="V73" i="1"/>
  <c r="R73" i="1"/>
  <c r="V72" i="1"/>
  <c r="R72" i="1"/>
  <c r="V71" i="1"/>
  <c r="R71" i="1"/>
  <c r="V70" i="1"/>
  <c r="R70" i="1"/>
  <c r="V69" i="1"/>
  <c r="R69" i="1"/>
  <c r="V68" i="1"/>
  <c r="R68" i="1"/>
  <c r="V67" i="1"/>
  <c r="R67" i="1"/>
  <c r="V66" i="1"/>
  <c r="R66" i="1"/>
  <c r="V65" i="1"/>
  <c r="R65" i="1"/>
  <c r="V64" i="1"/>
  <c r="R64" i="1"/>
  <c r="V63" i="1"/>
  <c r="R63" i="1"/>
  <c r="V62" i="1"/>
  <c r="R62" i="1"/>
  <c r="V61" i="1"/>
  <c r="R61" i="1"/>
  <c r="V60" i="1"/>
  <c r="R60" i="1"/>
  <c r="V59" i="1"/>
  <c r="R59" i="1"/>
  <c r="V58" i="1"/>
  <c r="R58" i="1"/>
  <c r="V57" i="1"/>
  <c r="R57" i="1"/>
  <c r="V56" i="1"/>
  <c r="R56" i="1"/>
  <c r="V55" i="1"/>
  <c r="R55" i="1"/>
  <c r="V54" i="1"/>
  <c r="R54" i="1"/>
  <c r="V53" i="1"/>
  <c r="R53" i="1"/>
  <c r="V52" i="1"/>
  <c r="R52" i="1"/>
  <c r="V51" i="1"/>
  <c r="R51" i="1"/>
  <c r="V50" i="1"/>
  <c r="R50" i="1"/>
  <c r="V49" i="1"/>
  <c r="R49" i="1"/>
  <c r="V48" i="1"/>
  <c r="R48" i="1"/>
  <c r="V47" i="1"/>
  <c r="R47" i="1"/>
  <c r="V46" i="1"/>
  <c r="R46" i="1"/>
  <c r="V45" i="1"/>
  <c r="R45" i="1"/>
  <c r="V44" i="1"/>
  <c r="R44" i="1"/>
  <c r="V43" i="1"/>
  <c r="R43" i="1"/>
  <c r="V42" i="1"/>
  <c r="R42" i="1"/>
  <c r="V41" i="1"/>
  <c r="R41" i="1"/>
  <c r="V40" i="1"/>
  <c r="R40" i="1"/>
  <c r="V39" i="1"/>
  <c r="R39" i="1"/>
  <c r="V38" i="1"/>
  <c r="R38" i="1"/>
  <c r="V37" i="1"/>
  <c r="R37" i="1"/>
  <c r="V36" i="1"/>
  <c r="R36" i="1"/>
  <c r="V35" i="1"/>
  <c r="R35" i="1"/>
  <c r="V34" i="1"/>
  <c r="R34" i="1"/>
  <c r="V33" i="1"/>
  <c r="R33" i="1"/>
  <c r="V32" i="1"/>
  <c r="V31" i="1"/>
  <c r="R31" i="1"/>
  <c r="V30" i="1"/>
  <c r="R30" i="1"/>
  <c r="V29" i="1"/>
  <c r="R29" i="1"/>
  <c r="V28" i="1"/>
  <c r="R28" i="1"/>
  <c r="V27" i="1"/>
  <c r="R27" i="1"/>
  <c r="V26" i="1"/>
  <c r="R26" i="1"/>
  <c r="V25" i="1"/>
  <c r="R25" i="1"/>
  <c r="V24" i="1"/>
  <c r="R24" i="1"/>
  <c r="V23" i="1"/>
  <c r="R23" i="1"/>
  <c r="V22" i="1"/>
  <c r="R22" i="1"/>
  <c r="V21" i="1"/>
  <c r="R21" i="1"/>
  <c r="V20" i="1"/>
  <c r="R20" i="1"/>
  <c r="V19" i="1"/>
  <c r="R19" i="1"/>
  <c r="V18" i="1"/>
  <c r="R18" i="1"/>
  <c r="V17" i="1"/>
  <c r="R17" i="1"/>
  <c r="V16" i="1"/>
  <c r="R16" i="1"/>
  <c r="V15" i="1"/>
  <c r="R15" i="1"/>
  <c r="V14" i="1"/>
  <c r="R14" i="1"/>
  <c r="V13" i="1"/>
  <c r="R13" i="1"/>
  <c r="V12" i="1"/>
  <c r="R12" i="1"/>
  <c r="V11" i="1"/>
  <c r="R11" i="1"/>
  <c r="V10" i="1"/>
  <c r="R10" i="1"/>
  <c r="V9" i="1"/>
  <c r="R9" i="1"/>
  <c r="V8" i="1"/>
  <c r="R8" i="1"/>
  <c r="W105" i="1"/>
  <c r="V7" i="1"/>
  <c r="R7" i="1"/>
  <c r="V6" i="1"/>
  <c r="S105" i="1"/>
  <c r="R6" i="1"/>
  <c r="N6" i="1"/>
  <c r="AL32" i="1" l="1"/>
  <c r="AJ32" i="1"/>
  <c r="AK32" i="1"/>
  <c r="AK47" i="1"/>
  <c r="AJ47" i="1"/>
  <c r="AL47" i="1"/>
  <c r="AJ71" i="1"/>
  <c r="AL71" i="1"/>
  <c r="AK71" i="1"/>
  <c r="AL15" i="1"/>
  <c r="AK15" i="1"/>
  <c r="AJ15" i="1"/>
  <c r="AL92" i="1"/>
  <c r="AJ92" i="1"/>
  <c r="AK92" i="1"/>
  <c r="AL36" i="1"/>
  <c r="AK36" i="1"/>
  <c r="AJ36" i="1"/>
  <c r="AJ40" i="1"/>
  <c r="AL40" i="1"/>
  <c r="AK40" i="1"/>
  <c r="AL44" i="1"/>
  <c r="AK44" i="1"/>
  <c r="AJ44" i="1"/>
  <c r="AK48" i="1"/>
  <c r="AJ48" i="1"/>
  <c r="AL48" i="1"/>
  <c r="AK52" i="1"/>
  <c r="AL52" i="1"/>
  <c r="AJ52" i="1"/>
  <c r="AJ60" i="1"/>
  <c r="AL60" i="1"/>
  <c r="AK60" i="1"/>
  <c r="AL64" i="1"/>
  <c r="AK64" i="1"/>
  <c r="AJ64" i="1"/>
  <c r="AJ68" i="1"/>
  <c r="AK68" i="1"/>
  <c r="AL68" i="1"/>
  <c r="AL72" i="1"/>
  <c r="AK72" i="1"/>
  <c r="AJ72" i="1"/>
  <c r="AK76" i="1"/>
  <c r="AJ76" i="1"/>
  <c r="AL76" i="1"/>
  <c r="AL80" i="1"/>
  <c r="AK80" i="1"/>
  <c r="AJ80" i="1"/>
  <c r="AJ39" i="1"/>
  <c r="AL39" i="1"/>
  <c r="AK39" i="1"/>
  <c r="AK67" i="1"/>
  <c r="AJ67" i="1"/>
  <c r="AL67" i="1"/>
  <c r="AL23" i="1"/>
  <c r="AK23" i="1"/>
  <c r="AJ23" i="1"/>
  <c r="AL100" i="1"/>
  <c r="AK100" i="1"/>
  <c r="AJ100" i="1"/>
  <c r="AL8" i="1"/>
  <c r="AK8" i="1"/>
  <c r="AJ8" i="1"/>
  <c r="AK28" i="1"/>
  <c r="AJ28" i="1"/>
  <c r="AL28" i="1"/>
  <c r="AK85" i="1"/>
  <c r="AJ85" i="1"/>
  <c r="AL85" i="1"/>
  <c r="AK93" i="1"/>
  <c r="AJ93" i="1"/>
  <c r="AL93" i="1"/>
  <c r="AJ97" i="1"/>
  <c r="AK97" i="1"/>
  <c r="AL97" i="1"/>
  <c r="AL101" i="1"/>
  <c r="AK101" i="1"/>
  <c r="AJ101" i="1"/>
  <c r="AL7" i="1"/>
  <c r="AK7" i="1"/>
  <c r="AJ7" i="1"/>
  <c r="AL35" i="1"/>
  <c r="AK35" i="1"/>
  <c r="AJ35" i="1"/>
  <c r="AJ59" i="1"/>
  <c r="AK59" i="1"/>
  <c r="AL59" i="1"/>
  <c r="AJ19" i="1"/>
  <c r="AK19" i="1"/>
  <c r="AL19" i="1"/>
  <c r="AK96" i="1"/>
  <c r="AJ96" i="1"/>
  <c r="AL96" i="1"/>
  <c r="AJ12" i="1"/>
  <c r="AK12" i="1"/>
  <c r="AL12" i="1"/>
  <c r="AK37" i="1"/>
  <c r="AL37" i="1"/>
  <c r="AJ37" i="1"/>
  <c r="AL45" i="1"/>
  <c r="AJ45" i="1"/>
  <c r="AK45" i="1"/>
  <c r="AL53" i="1"/>
  <c r="AK53" i="1"/>
  <c r="AJ53" i="1"/>
  <c r="AK57" i="1"/>
  <c r="AJ57" i="1"/>
  <c r="AL57" i="1"/>
  <c r="AJ61" i="1"/>
  <c r="AK61" i="1"/>
  <c r="AL61" i="1"/>
  <c r="AL65" i="1"/>
  <c r="AJ65" i="1"/>
  <c r="AK65" i="1"/>
  <c r="AJ69" i="1"/>
  <c r="AL69" i="1"/>
  <c r="AK69" i="1"/>
  <c r="AL73" i="1"/>
  <c r="AK73" i="1"/>
  <c r="AJ73" i="1"/>
  <c r="AJ77" i="1"/>
  <c r="AK77" i="1"/>
  <c r="AL77" i="1"/>
  <c r="AL81" i="1"/>
  <c r="AK81" i="1"/>
  <c r="AJ81" i="1"/>
  <c r="AK75" i="1"/>
  <c r="AJ75" i="1"/>
  <c r="AL75" i="1"/>
  <c r="AK27" i="1"/>
  <c r="AJ27" i="1"/>
  <c r="AL27" i="1"/>
  <c r="AK104" i="1"/>
  <c r="AJ104" i="1"/>
  <c r="AL104" i="1"/>
  <c r="AL16" i="1"/>
  <c r="AK16" i="1"/>
  <c r="AJ16" i="1"/>
  <c r="AL13" i="1"/>
  <c r="AK13" i="1"/>
  <c r="AJ13" i="1"/>
  <c r="AK17" i="1"/>
  <c r="AJ17" i="1"/>
  <c r="AL17" i="1"/>
  <c r="AJ21" i="1"/>
  <c r="AL21" i="1"/>
  <c r="AK21" i="1"/>
  <c r="AJ25" i="1"/>
  <c r="AL25" i="1"/>
  <c r="AK25" i="1"/>
  <c r="AJ86" i="1"/>
  <c r="AL86" i="1"/>
  <c r="AK86" i="1"/>
  <c r="AL94" i="1"/>
  <c r="AK94" i="1"/>
  <c r="AJ94" i="1"/>
  <c r="AJ98" i="1"/>
  <c r="AK98" i="1"/>
  <c r="AL98" i="1"/>
  <c r="AL102" i="1"/>
  <c r="AK102" i="1"/>
  <c r="AJ102" i="1"/>
  <c r="AL79" i="1"/>
  <c r="AJ79" i="1"/>
  <c r="AK79" i="1"/>
  <c r="AK31" i="1"/>
  <c r="AL31" i="1"/>
  <c r="AJ31" i="1"/>
  <c r="AK84" i="1"/>
  <c r="AL84" i="1"/>
  <c r="AJ84" i="1"/>
  <c r="AJ20" i="1"/>
  <c r="AK20" i="1"/>
  <c r="AL20" i="1"/>
  <c r="AL33" i="1"/>
  <c r="AK33" i="1"/>
  <c r="AJ33" i="1"/>
  <c r="AJ34" i="1"/>
  <c r="AL34" i="1"/>
  <c r="AK34" i="1"/>
  <c r="AK38" i="1"/>
  <c r="AJ38" i="1"/>
  <c r="AL38" i="1"/>
  <c r="AJ42" i="1"/>
  <c r="AL42" i="1"/>
  <c r="AK42" i="1"/>
  <c r="AJ50" i="1"/>
  <c r="AL50" i="1"/>
  <c r="AK50" i="1"/>
  <c r="AL54" i="1"/>
  <c r="AK54" i="1"/>
  <c r="AJ54" i="1"/>
  <c r="AK58" i="1"/>
  <c r="AJ58" i="1"/>
  <c r="AL58" i="1"/>
  <c r="AJ62" i="1"/>
  <c r="AL62" i="1"/>
  <c r="AK62" i="1"/>
  <c r="AK66" i="1"/>
  <c r="AL66" i="1"/>
  <c r="AJ66" i="1"/>
  <c r="AL74" i="1"/>
  <c r="AK74" i="1"/>
  <c r="AJ74" i="1"/>
  <c r="AJ78" i="1"/>
  <c r="AL78" i="1"/>
  <c r="AK78" i="1"/>
  <c r="AJ43" i="1"/>
  <c r="AL43" i="1"/>
  <c r="AK43" i="1"/>
  <c r="AK63" i="1"/>
  <c r="AJ63" i="1"/>
  <c r="AL63" i="1"/>
  <c r="AJ11" i="1"/>
  <c r="AK11" i="1"/>
  <c r="AL11" i="1"/>
  <c r="AJ88" i="1"/>
  <c r="AL88" i="1"/>
  <c r="AK88" i="1"/>
  <c r="AL24" i="1"/>
  <c r="AJ24" i="1"/>
  <c r="AK24" i="1"/>
  <c r="AK9" i="1"/>
  <c r="AJ9" i="1"/>
  <c r="AL9" i="1"/>
  <c r="AJ10" i="1"/>
  <c r="AK10" i="1"/>
  <c r="AL10" i="1"/>
  <c r="AL14" i="1"/>
  <c r="AJ14" i="1"/>
  <c r="AK14" i="1"/>
  <c r="AK18" i="1"/>
  <c r="AJ18" i="1"/>
  <c r="AL18" i="1"/>
  <c r="AL22" i="1"/>
  <c r="AK22" i="1"/>
  <c r="AJ22" i="1"/>
  <c r="AK26" i="1"/>
  <c r="AL26" i="1"/>
  <c r="AJ26" i="1"/>
  <c r="AJ30" i="1"/>
  <c r="AL30" i="1"/>
  <c r="AK30" i="1"/>
  <c r="AL83" i="1"/>
  <c r="AK83" i="1"/>
  <c r="AJ83" i="1"/>
  <c r="AJ87" i="1"/>
  <c r="AL87" i="1"/>
  <c r="AK87" i="1"/>
  <c r="AL91" i="1"/>
  <c r="AK91" i="1"/>
  <c r="AJ91" i="1"/>
  <c r="AJ99" i="1"/>
  <c r="AL99" i="1"/>
  <c r="AK99" i="1"/>
  <c r="AL103" i="1"/>
  <c r="AJ103" i="1"/>
  <c r="AK103" i="1"/>
  <c r="AK89" i="1"/>
  <c r="AL89" i="1"/>
  <c r="AJ89" i="1"/>
  <c r="AL56" i="1"/>
  <c r="AJ56" i="1"/>
  <c r="AK56" i="1"/>
  <c r="AL49" i="1"/>
  <c r="AK49" i="1"/>
  <c r="AJ49" i="1"/>
  <c r="AL95" i="1"/>
  <c r="AK95" i="1"/>
  <c r="AJ95" i="1"/>
  <c r="AK70" i="1"/>
  <c r="AJ70" i="1"/>
  <c r="AL70" i="1"/>
  <c r="AK55" i="1"/>
  <c r="AJ55" i="1"/>
  <c r="AL55" i="1"/>
  <c r="AJ41" i="1"/>
  <c r="AK41" i="1"/>
  <c r="AL41" i="1"/>
  <c r="Q105" i="1"/>
  <c r="R105" i="1"/>
  <c r="S106" i="1" s="1"/>
  <c r="AC105" i="1"/>
  <c r="AE105" i="1"/>
  <c r="AD105" i="1"/>
  <c r="K105" i="1"/>
  <c r="AE106" i="1" l="1"/>
  <c r="AA29" i="1"/>
  <c r="AA46" i="1"/>
  <c r="AA51" i="1"/>
  <c r="AA90" i="1"/>
  <c r="AK46" i="1" l="1"/>
  <c r="AJ46" i="1"/>
  <c r="AL46" i="1"/>
  <c r="AL51" i="1"/>
  <c r="AK51" i="1"/>
  <c r="AJ51" i="1"/>
  <c r="AK90" i="1"/>
  <c r="AJ90" i="1"/>
  <c r="AL90" i="1"/>
  <c r="AA105" i="1"/>
  <c r="Z29" i="1"/>
  <c r="BO105" i="1"/>
  <c r="Z105" i="1" l="1"/>
  <c r="AA106" i="1" s="1"/>
  <c r="AL29" i="1" l="1"/>
  <c r="AJ29" i="1"/>
  <c r="AK29" i="1"/>
  <c r="J105" i="1"/>
  <c r="I105" i="1"/>
  <c r="AG105" i="1" l="1"/>
  <c r="AH105" i="1"/>
  <c r="Y46" i="1" l="1"/>
  <c r="Y51" i="1"/>
  <c r="Y90" i="1"/>
  <c r="Y29" i="1"/>
  <c r="Y54" i="1"/>
  <c r="Y45" i="1"/>
  <c r="Y68" i="1"/>
  <c r="Y105" i="1" l="1"/>
  <c r="CU105" i="1"/>
  <c r="CT105" i="1"/>
  <c r="CS105" i="1"/>
  <c r="CN105" i="1"/>
  <c r="CI105" i="1"/>
  <c r="CO105" i="1"/>
  <c r="CJ105" i="1"/>
  <c r="CE105" i="1"/>
  <c r="BU105" i="1"/>
  <c r="BY105" i="1"/>
  <c r="BZ105" i="1"/>
  <c r="AQ105" i="1"/>
  <c r="AP105" i="1"/>
  <c r="AV105" i="1"/>
  <c r="AU105" i="1"/>
  <c r="BA105" i="1"/>
  <c r="AZ105" i="1"/>
  <c r="BF105" i="1"/>
  <c r="BE105" i="1"/>
  <c r="BK105" i="1"/>
  <c r="BJ105" i="1"/>
  <c r="BP105" i="1"/>
  <c r="U82" i="1" l="1"/>
  <c r="U105" i="1" s="1"/>
  <c r="V82" i="1"/>
  <c r="CD105" i="1"/>
  <c r="V105" i="1" l="1"/>
  <c r="W106" i="1" s="1"/>
  <c r="BT105" i="1"/>
  <c r="AL82" i="1" l="1"/>
  <c r="AK82" i="1"/>
  <c r="AJ82" i="1"/>
  <c r="BL105" i="1"/>
  <c r="E105" i="1" l="1"/>
  <c r="L105" i="1" l="1"/>
  <c r="CC105" i="1" l="1"/>
  <c r="CA105" i="1"/>
  <c r="CB105" i="1"/>
  <c r="BV105" i="1" l="1"/>
  <c r="BW105" i="1"/>
  <c r="BX105" i="1"/>
  <c r="AI105" i="1" l="1"/>
  <c r="AK6" i="1"/>
  <c r="AK105" i="1" l="1"/>
  <c r="AL6" i="1"/>
  <c r="CY105" i="1"/>
  <c r="N105" i="1"/>
  <c r="CR105" i="1" l="1"/>
  <c r="CQ105" i="1"/>
  <c r="CP105" i="1"/>
  <c r="CM105" i="1"/>
  <c r="CL105" i="1"/>
  <c r="CK105" i="1"/>
  <c r="CH105" i="1"/>
  <c r="CG105" i="1"/>
  <c r="CF105" i="1"/>
  <c r="BS105" i="1"/>
  <c r="BR105" i="1"/>
  <c r="BQ105" i="1"/>
  <c r="BN105" i="1"/>
  <c r="BM105" i="1"/>
  <c r="BI105" i="1"/>
  <c r="BH105" i="1"/>
  <c r="BG105" i="1"/>
  <c r="BD105" i="1"/>
  <c r="BC105" i="1"/>
  <c r="BB105" i="1"/>
  <c r="AY105" i="1"/>
  <c r="AX105" i="1"/>
  <c r="AW105" i="1"/>
  <c r="AT105" i="1"/>
  <c r="AS105" i="1"/>
  <c r="AR105" i="1"/>
  <c r="AO105" i="1"/>
  <c r="AN105" i="1"/>
  <c r="AM105" i="1"/>
  <c r="F105" i="1"/>
  <c r="CH106" i="1" l="1"/>
  <c r="BD106" i="1"/>
  <c r="CR106" i="1"/>
  <c r="BN106" i="1"/>
  <c r="BX106" i="1"/>
  <c r="AO106" i="1"/>
  <c r="BS106" i="1"/>
  <c r="CC106" i="1"/>
  <c r="CM106" i="1"/>
  <c r="BI106" i="1"/>
  <c r="AY106" i="1"/>
  <c r="AT106" i="1"/>
  <c r="O105" i="1"/>
  <c r="M105" i="1"/>
  <c r="O106" i="1" l="1"/>
  <c r="AJ6" i="1"/>
  <c r="AL105" i="1" l="1"/>
  <c r="AJ10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3" authorId="0" shapeId="0" xr:uid="{B5B65829-1066-482F-945D-0FACB953D654}">
      <text>
        <r>
          <rPr>
            <b/>
            <sz val="10"/>
            <color indexed="81"/>
            <rFont val="Tahoma"/>
            <family val="2"/>
          </rPr>
          <t xml:space="preserve">Prepared by ICEA Service Bureau -- using data compiled by IaDOT Office of Systems Planning -- June 18, 2013
Factors based on FM data of 1-1-13 and 2010 US Census
Based 100% on SRFDC factors
</t>
        </r>
      </text>
    </comment>
  </commentList>
</comments>
</file>

<file path=xl/sharedStrings.xml><?xml version="1.0" encoding="utf-8"?>
<sst xmlns="http://schemas.openxmlformats.org/spreadsheetml/2006/main" count="1136" uniqueCount="346">
  <si>
    <t xml:space="preserve"> </t>
  </si>
  <si>
    <t>TOTAL</t>
  </si>
  <si>
    <t>5 Yr Borrow</t>
  </si>
  <si>
    <t>Ahead</t>
  </si>
  <si>
    <t>Approximate</t>
  </si>
  <si>
    <t>Avail to let</t>
  </si>
  <si>
    <t>Actual</t>
  </si>
  <si>
    <t>County</t>
  </si>
  <si>
    <t>Co #</t>
  </si>
  <si>
    <t>Adair</t>
  </si>
  <si>
    <t>Adams</t>
  </si>
  <si>
    <t>Allamakee</t>
  </si>
  <si>
    <t>Appanoose</t>
  </si>
  <si>
    <t>Audubon</t>
  </si>
  <si>
    <t>Benton</t>
  </si>
  <si>
    <t>Black Hawk</t>
  </si>
  <si>
    <t>Boone</t>
  </si>
  <si>
    <t>Bremer</t>
  </si>
  <si>
    <t>Buchanan</t>
  </si>
  <si>
    <t>Buena Vista</t>
  </si>
  <si>
    <t>Butler</t>
  </si>
  <si>
    <t>Calhoun</t>
  </si>
  <si>
    <t>Carroll</t>
  </si>
  <si>
    <t>Cass</t>
  </si>
  <si>
    <t>Cedar</t>
  </si>
  <si>
    <t>Cerro Gordo</t>
  </si>
  <si>
    <t>Cherokee</t>
  </si>
  <si>
    <t>Chickasaw</t>
  </si>
  <si>
    <t>Clarke</t>
  </si>
  <si>
    <t>Clay</t>
  </si>
  <si>
    <t>Clayton</t>
  </si>
  <si>
    <t>Clinton</t>
  </si>
  <si>
    <t>Crawford</t>
  </si>
  <si>
    <t>Dallas</t>
  </si>
  <si>
    <t>Davis</t>
  </si>
  <si>
    <t>Delaware</t>
  </si>
  <si>
    <t>Des Moines</t>
  </si>
  <si>
    <t>Dickinson</t>
  </si>
  <si>
    <t>Dubuque</t>
  </si>
  <si>
    <t>Emmet</t>
  </si>
  <si>
    <t>Fayette</t>
  </si>
  <si>
    <t>Floyd</t>
  </si>
  <si>
    <t>Franklin</t>
  </si>
  <si>
    <t>Fremont</t>
  </si>
  <si>
    <t>Greene</t>
  </si>
  <si>
    <t>Grundy</t>
  </si>
  <si>
    <t>Guthrie</t>
  </si>
  <si>
    <t>Hamilton</t>
  </si>
  <si>
    <t>Hancock</t>
  </si>
  <si>
    <t>Hardin</t>
  </si>
  <si>
    <t>Harrison</t>
  </si>
  <si>
    <t>Henry</t>
  </si>
  <si>
    <t>Howard</t>
  </si>
  <si>
    <t>Humboldt</t>
  </si>
  <si>
    <t>Ida</t>
  </si>
  <si>
    <t>Iowa</t>
  </si>
  <si>
    <t>Jackson</t>
  </si>
  <si>
    <t>Jasper</t>
  </si>
  <si>
    <t>Jefferson</t>
  </si>
  <si>
    <t>Johnson</t>
  </si>
  <si>
    <t>Jones</t>
  </si>
  <si>
    <t>Keokuk</t>
  </si>
  <si>
    <t>Kossuth</t>
  </si>
  <si>
    <t>Lee</t>
  </si>
  <si>
    <t>Linn</t>
  </si>
  <si>
    <t>Louisa</t>
  </si>
  <si>
    <t>Lyon</t>
  </si>
  <si>
    <t>Madison</t>
  </si>
  <si>
    <t>Mahaska</t>
  </si>
  <si>
    <t>Marion</t>
  </si>
  <si>
    <t>Marshall</t>
  </si>
  <si>
    <t>Mills</t>
  </si>
  <si>
    <t>Mitchell</t>
  </si>
  <si>
    <t>Monona</t>
  </si>
  <si>
    <t>Monroe</t>
  </si>
  <si>
    <t>Montgomery</t>
  </si>
  <si>
    <t>Muscatine</t>
  </si>
  <si>
    <t>O'Brien</t>
  </si>
  <si>
    <t>Osceola</t>
  </si>
  <si>
    <t>Page</t>
  </si>
  <si>
    <t>Palo Alto</t>
  </si>
  <si>
    <t>Plymouth</t>
  </si>
  <si>
    <t>Pocahontas</t>
  </si>
  <si>
    <t>Polk</t>
  </si>
  <si>
    <t>Pottawattamie</t>
  </si>
  <si>
    <t>Poweshiek</t>
  </si>
  <si>
    <t>Ringgold</t>
  </si>
  <si>
    <t>Sac</t>
  </si>
  <si>
    <t>Scott</t>
  </si>
  <si>
    <t>Shelby</t>
  </si>
  <si>
    <t>Sioux</t>
  </si>
  <si>
    <t>Story</t>
  </si>
  <si>
    <t>Tama</t>
  </si>
  <si>
    <t>Taylor</t>
  </si>
  <si>
    <t>Union</t>
  </si>
  <si>
    <t>Van Buren</t>
  </si>
  <si>
    <t>Wapello</t>
  </si>
  <si>
    <t>Warren</t>
  </si>
  <si>
    <t>Washington</t>
  </si>
  <si>
    <t>Wayne</t>
  </si>
  <si>
    <t>Webster</t>
  </si>
  <si>
    <t>Winnebago</t>
  </si>
  <si>
    <t>Winneshiek</t>
  </si>
  <si>
    <t>Woodbury</t>
  </si>
  <si>
    <t>Wright</t>
  </si>
  <si>
    <t>FM Only</t>
  </si>
  <si>
    <t>FM Match</t>
  </si>
  <si>
    <t>Contract Amt</t>
  </si>
  <si>
    <t>Total Contract</t>
  </si>
  <si>
    <t>Total FM funds</t>
  </si>
  <si>
    <t>Qtr Ending</t>
  </si>
  <si>
    <t>Forecast</t>
  </si>
  <si>
    <t>Worth</t>
  </si>
  <si>
    <t>Lucas</t>
  </si>
  <si>
    <t>(Borrow Ahead)</t>
  </si>
  <si>
    <t>Years Credit</t>
  </si>
  <si>
    <t>Statewide Farm-to-Market Balance Report</t>
  </si>
  <si>
    <t>Decatur</t>
  </si>
  <si>
    <t>Avail to Let</t>
  </si>
  <si>
    <t>Cash Balance</t>
  </si>
  <si>
    <t xml:space="preserve">RUTF RECEIPTS </t>
  </si>
  <si>
    <t>3 Yr Borrow</t>
  </si>
  <si>
    <t>Actual Contract Amounts</t>
  </si>
  <si>
    <t>O’Brien</t>
  </si>
  <si>
    <t>Notes to Local Systems staff for populating this sheet.</t>
  </si>
  <si>
    <t>WRIGHT</t>
  </si>
  <si>
    <t>WORTH</t>
  </si>
  <si>
    <t>WOODBURY</t>
  </si>
  <si>
    <t>WINNESHIEK</t>
  </si>
  <si>
    <t>WINNEBAGO</t>
  </si>
  <si>
    <t>WEBSTER</t>
  </si>
  <si>
    <t>WAYNE</t>
  </si>
  <si>
    <t>WASHINGTON</t>
  </si>
  <si>
    <t>WARREN</t>
  </si>
  <si>
    <t>WAPELLO</t>
  </si>
  <si>
    <t>VAN BUREN</t>
  </si>
  <si>
    <t>UNION</t>
  </si>
  <si>
    <t>TAYLOR</t>
  </si>
  <si>
    <t>TAMA</t>
  </si>
  <si>
    <t>STORY</t>
  </si>
  <si>
    <t>SIOUX</t>
  </si>
  <si>
    <t>SHELBY</t>
  </si>
  <si>
    <t>SCOTT</t>
  </si>
  <si>
    <t>SAC</t>
  </si>
  <si>
    <t>RINGGOLD</t>
  </si>
  <si>
    <t>POWESHIEK</t>
  </si>
  <si>
    <t>POTTAWATTAMIE</t>
  </si>
  <si>
    <t>POLK</t>
  </si>
  <si>
    <t>POCAHONTAS</t>
  </si>
  <si>
    <t>PLYMOUTH</t>
  </si>
  <si>
    <t>PALO ALTO</t>
  </si>
  <si>
    <t>PAGE</t>
  </si>
  <si>
    <t>OSCEOLA</t>
  </si>
  <si>
    <t>OBRIEN</t>
  </si>
  <si>
    <t>MUSCATINE</t>
  </si>
  <si>
    <t>MONTGOMERY</t>
  </si>
  <si>
    <t>MONROE</t>
  </si>
  <si>
    <t>MONONA</t>
  </si>
  <si>
    <t>MITCHELL</t>
  </si>
  <si>
    <t>MILLS</t>
  </si>
  <si>
    <t>MARSHALL</t>
  </si>
  <si>
    <t>MARION</t>
  </si>
  <si>
    <t>MAHASKA</t>
  </si>
  <si>
    <t>MADISON</t>
  </si>
  <si>
    <t>LYON</t>
  </si>
  <si>
    <t>LUCAS</t>
  </si>
  <si>
    <t>LOUISA</t>
  </si>
  <si>
    <t>LINN</t>
  </si>
  <si>
    <t>LEE</t>
  </si>
  <si>
    <t>KOSSUTH</t>
  </si>
  <si>
    <t>KEOKUK</t>
  </si>
  <si>
    <t>JONES</t>
  </si>
  <si>
    <t>JOHNSON</t>
  </si>
  <si>
    <t>JEFFERSON</t>
  </si>
  <si>
    <t>JASPER</t>
  </si>
  <si>
    <t>JACKSON</t>
  </si>
  <si>
    <t>IOWA</t>
  </si>
  <si>
    <t>IDA</t>
  </si>
  <si>
    <t>HUMBOLDT</t>
  </si>
  <si>
    <t>HOWARD</t>
  </si>
  <si>
    <t>HENRY</t>
  </si>
  <si>
    <t>HARRISON</t>
  </si>
  <si>
    <t>HARDIN</t>
  </si>
  <si>
    <t>HANCOCK</t>
  </si>
  <si>
    <t>HAMILTON</t>
  </si>
  <si>
    <t>GUTHRIE</t>
  </si>
  <si>
    <t>GRUNDY</t>
  </si>
  <si>
    <t>GREENE</t>
  </si>
  <si>
    <t>FREMONT</t>
  </si>
  <si>
    <t>FRANKLIN</t>
  </si>
  <si>
    <t>FLOYD</t>
  </si>
  <si>
    <t>FAYETTE</t>
  </si>
  <si>
    <t>EMMET</t>
  </si>
  <si>
    <t>DUBUQUE</t>
  </si>
  <si>
    <t>DICKINSON</t>
  </si>
  <si>
    <t>DES MOINES</t>
  </si>
  <si>
    <t>DELAWARE</t>
  </si>
  <si>
    <t>DECATUR</t>
  </si>
  <si>
    <t>DAVIS</t>
  </si>
  <si>
    <t>DALLAS</t>
  </si>
  <si>
    <t>CRAWFORD</t>
  </si>
  <si>
    <t>CLINTON</t>
  </si>
  <si>
    <t>CLAYTON</t>
  </si>
  <si>
    <t>CLAY</t>
  </si>
  <si>
    <t>CLARKE</t>
  </si>
  <si>
    <t>CHICKASAW</t>
  </si>
  <si>
    <t>CHEROKEE</t>
  </si>
  <si>
    <t>CERRO GORDO</t>
  </si>
  <si>
    <t>CEDAR</t>
  </si>
  <si>
    <t>CASS</t>
  </si>
  <si>
    <t>CARROLL</t>
  </si>
  <si>
    <t>CALHOUN</t>
  </si>
  <si>
    <t>BUTLER</t>
  </si>
  <si>
    <t>BUENA VISTA</t>
  </si>
  <si>
    <t>BUCHANAN</t>
  </si>
  <si>
    <t>BREMER</t>
  </si>
  <si>
    <t>BOONE</t>
  </si>
  <si>
    <t>BLACKHAWK</t>
  </si>
  <si>
    <t>BENTON</t>
  </si>
  <si>
    <t>AUDUBON</t>
  </si>
  <si>
    <t>APPANOOSE</t>
  </si>
  <si>
    <t>ALLAMAKEE</t>
  </si>
  <si>
    <t>ADAMS</t>
  </si>
  <si>
    <t>ADAIR</t>
  </si>
  <si>
    <t>County Name</t>
  </si>
  <si>
    <t>County Number</t>
  </si>
  <si>
    <t>June 30 Qtr</t>
  </si>
  <si>
    <t>Mar 30 Qtr</t>
  </si>
  <si>
    <t>Dec 31 qtr</t>
  </si>
  <si>
    <t>Sept 30 Qtr</t>
  </si>
  <si>
    <t>Ending Cash Balances</t>
  </si>
  <si>
    <t>Total</t>
  </si>
  <si>
    <t>100% STBG/Other-Swap (Pass-Through Only)</t>
  </si>
  <si>
    <t>100% HBP/CSB (Pass-Through Only)</t>
  </si>
  <si>
    <t>Federal-Aid Reimbursements in Current FY</t>
  </si>
  <si>
    <t>Distribution Percentage</t>
  </si>
  <si>
    <t>OBJECT:</t>
  </si>
  <si>
    <t>County Contributions &amp; Other Misc. Receipts in Current FY</t>
  </si>
  <si>
    <t>Approximate FM Obligations as of End of Previous Quarter</t>
  </si>
  <si>
    <t>FY'20 Qtr 4</t>
  </si>
  <si>
    <t>FY'21 Qtr 1</t>
  </si>
  <si>
    <t>FY'21 Qtr 2</t>
  </si>
  <si>
    <t>FY'21 Qtr 3</t>
  </si>
  <si>
    <t>criteria</t>
  </si>
  <si>
    <t>Expenditures in Current FY as of End of Previous Quarter</t>
  </si>
  <si>
    <t>Approximate Current Obligated Balance</t>
  </si>
  <si>
    <t>Approximate Cash Balance as of End of Previous Quarter</t>
  </si>
  <si>
    <t>v Update these amounts each quarter</t>
  </si>
  <si>
    <t>County Let Gran. Surf. Contracts</t>
  </si>
  <si>
    <t>Quarter 1</t>
  </si>
  <si>
    <t>Quarter 2</t>
  </si>
  <si>
    <t>Quarter 3</t>
  </si>
  <si>
    <t>Quarter 4</t>
  </si>
  <si>
    <t>FY'21 Qtr 4</t>
  </si>
  <si>
    <t>FM Consultant/Utility Agreements</t>
  </si>
  <si>
    <t>00 Research</t>
  </si>
  <si>
    <t>Research</t>
  </si>
  <si>
    <t>00</t>
  </si>
  <si>
    <t>Quarterly Statement</t>
  </si>
  <si>
    <t>Difference</t>
  </si>
  <si>
    <t>Total revenue (all sources)</t>
  </si>
  <si>
    <t>**Includes "Allocation Adjustment" and "County Contribution"</t>
  </si>
  <si>
    <t>Allocation Adj.</t>
  </si>
  <si>
    <t>Miscellaneous</t>
  </si>
  <si>
    <t>&lt;Expense of $543.03 missing from Qtr 1 &amp; 2.  To be included in Qtr 3 report.</t>
  </si>
  <si>
    <t>Pass-Through Only</t>
  </si>
  <si>
    <t>FY'22 Qtr 1</t>
  </si>
  <si>
    <t>FY'22 Qtr 2</t>
  </si>
  <si>
    <t>FY'22 Qtr 3</t>
  </si>
  <si>
    <t>Overall Total</t>
  </si>
  <si>
    <t>Running Total</t>
  </si>
  <si>
    <t>Surface Transp. Program (Direct)</t>
  </si>
  <si>
    <t>Bridge Repl. (Direct)</t>
  </si>
  <si>
    <t>Emergency Relief</t>
  </si>
  <si>
    <t>Total Federal-aid</t>
  </si>
  <si>
    <t>Disbursements for Construction</t>
  </si>
  <si>
    <t>Disbursements for Engineering</t>
  </si>
  <si>
    <t>Total Disbursements</t>
  </si>
  <si>
    <t>Disbursements for ROW</t>
  </si>
  <si>
    <t>(Blank)</t>
  </si>
  <si>
    <t>Disbursements for Research - Supplier Invoices</t>
  </si>
  <si>
    <t>Disbursements for Research - Non Supplier Invoices</t>
  </si>
  <si>
    <t>***Expenditures should show as postives on this sheet</t>
  </si>
  <si>
    <t>Running Total (Counties only)</t>
  </si>
  <si>
    <t>^ Check against main sheet total</t>
  </si>
  <si>
    <t>FY'22 Qtr 4</t>
  </si>
  <si>
    <t>FY'23 Qtr 1</t>
  </si>
  <si>
    <t>v Update this formula each quarter.  Take out interim quarter reference at end of year.</t>
  </si>
  <si>
    <t>v Copy from Quarterly Statement by Region Report from Workday</t>
  </si>
  <si>
    <t>Subtotal</t>
  </si>
  <si>
    <t>FY'23 Qtr 2</t>
  </si>
  <si>
    <t>Want obligations to show as negative numbers in this sheet</t>
  </si>
  <si>
    <t>Copy obligations values from column R "Obligations authorized for Construction and Engineering" from the Farm_to_Market_Fund_Quarterly_Statement_By_Region" spreadsheet (used for all other tabs in this workbook).  Reverse the sign.  Double check against the summary FM statement and the Obligations spreadsheet.</t>
  </si>
  <si>
    <t>Postive # in the obligations spreadsheet and FM Quarterly Regional sheets = obligation on the books</t>
  </si>
  <si>
    <t>County Total</t>
  </si>
  <si>
    <t>V Includes FM Supplement</t>
  </si>
  <si>
    <t>&lt; Check against main sheet</t>
  </si>
  <si>
    <t>FY'23 Qtr 3</t>
  </si>
  <si>
    <t>^ Check against Farm to Market Road Fund Quarterly Statement By Region - Updated (w/out 00 Region)</t>
  </si>
  <si>
    <t>v Obligations from Granular Surfacing &amp; Consultant Contracts are not refelected here beyond the current quarter/end of year if they have not been captured in Workday</t>
  </si>
  <si>
    <t>FY'23 Qtr 4</t>
  </si>
  <si>
    <t>County 00 (Research)</t>
  </si>
  <si>
    <t xml:space="preserve">v Copy from June FINAL FY SRFDC </t>
  </si>
  <si>
    <t>FY24 Farm to Market factors</t>
  </si>
  <si>
    <t>Qtrly Statement (PDF) Check</t>
  </si>
  <si>
    <t>Quarterly Statement (PDF)</t>
  </si>
  <si>
    <t>^ Check against main sheet total (add with "Other Rev")</t>
  </si>
  <si>
    <t>^ Check against main sheet total (Add with "Co Contrib")</t>
  </si>
  <si>
    <t>FY2025</t>
  </si>
  <si>
    <t>Sept. 30, 2024</t>
  </si>
  <si>
    <t>Dec. 31, 2024</t>
  </si>
  <si>
    <t>March 31, 2025</t>
  </si>
  <si>
    <t>June 30, 2025</t>
  </si>
  <si>
    <t>Let Amounts July 2024- June 2025</t>
  </si>
  <si>
    <t>Let Amounts in Quarter 1 (July 2024 - Sept 2024)</t>
  </si>
  <si>
    <t>Let Amounts in Quarter 2 (Oct 2024 - Dec 2024)</t>
  </si>
  <si>
    <t>Let Amounts Quarter 3 (Jan 2025- March 2025)</t>
  </si>
  <si>
    <t>Let Amounts Quarter 4 (Apr 2025 - June 2025)</t>
  </si>
  <si>
    <t>O'Brien SCPS obligation missed.  Finance used non-revised report. ^</t>
  </si>
  <si>
    <t>FY'24 Qtr 1</t>
  </si>
  <si>
    <t>FY'25 Qtr 2</t>
  </si>
  <si>
    <t>FY'25 Qtr 1</t>
  </si>
  <si>
    <t>FY'25 Qtr 3</t>
  </si>
  <si>
    <t>FY'25 Qtr 4</t>
  </si>
  <si>
    <t>FY'24 Qtr 4</t>
  </si>
  <si>
    <t>FY'24 Qtr 3</t>
  </si>
  <si>
    <t>FY'24 Qtr 2</t>
  </si>
  <si>
    <t xml:space="preserve"> July 16, 2024 Letting</t>
  </si>
  <si>
    <t xml:space="preserve"> August 20, 2024 Letting</t>
  </si>
  <si>
    <t>September 17, 2024 Letting</t>
  </si>
  <si>
    <t>October 15, 2024 Letting</t>
  </si>
  <si>
    <t>November 19, 2024 Letting</t>
  </si>
  <si>
    <t>December 17, 2024 Letting</t>
  </si>
  <si>
    <t>January 22, 2025 Letting</t>
  </si>
  <si>
    <t>February 18, 2025 Letting</t>
  </si>
  <si>
    <t>March 18, 2025 Letting</t>
  </si>
  <si>
    <t>April 18, 2025 Letting</t>
  </si>
  <si>
    <t>May 20, 2025 Letting</t>
  </si>
  <si>
    <t>June 17, 2025 Letting</t>
  </si>
  <si>
    <t>Approximate Obligated Balance as of End of Previous Quarter</t>
  </si>
  <si>
    <t>Q1: EOR for BRS(118)</t>
  </si>
  <si>
    <t>Q1: Suppl. #3 for CBA for BRS(92)</t>
  </si>
  <si>
    <t>Q1: CBA Supplement 1 for FHWA 123059 &amp; and FHWA 091607 (were from FY'24 Q4)</t>
  </si>
  <si>
    <t>Q1: HGM for (92) Construction Admin</t>
  </si>
  <si>
    <t>Joint with Henry County</t>
  </si>
  <si>
    <t>Joint with Calhoun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</si>
</sst>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[$-409]mmmm\ d\,\ yyyy;@"/>
    <numFmt numFmtId="166" formatCode="0.00000000"/>
    <numFmt numFmtId="167" formatCode="00"/>
    <numFmt numFmtId="168" formatCode="#,##0.00;[Red]\(#,##0.00\)"/>
  </numFmts>
  <fonts count="35" x14ac:knownFonts="1">
    <font>
      <sz val="11"/>
      <color theme="1"/>
      <name val="Calibri"/>
      <family val="2"/>
      <scheme val="minor"/>
    </font>
    <font>
      <b/>
      <sz val="14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7"/>
      <name val="Arial"/>
      <family val="2"/>
    </font>
    <font>
      <sz val="8"/>
      <color theme="1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u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Calibri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10"/>
      <color indexed="12"/>
      <name val="Calibri"/>
      <family val="2"/>
      <scheme val="minor"/>
    </font>
    <font>
      <i/>
      <sz val="12"/>
      <name val="Arial"/>
      <family val="2"/>
    </font>
    <font>
      <b/>
      <sz val="10"/>
      <color indexed="17"/>
      <name val="Arial"/>
      <family val="2"/>
    </font>
    <font>
      <b/>
      <sz val="10"/>
      <color indexed="81"/>
      <name val="Tahoma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8"/>
      <color rgb="FF00B050"/>
      <name val="Arial"/>
      <family val="2"/>
    </font>
    <font>
      <sz val="10"/>
      <name val="Arial"/>
      <family val="2"/>
    </font>
    <font>
      <b/>
      <sz val="11"/>
      <color theme="0" tint="-0.249977111117893"/>
      <name val="Calibri"/>
      <family val="2"/>
      <scheme val="minor"/>
    </font>
    <font>
      <sz val="10"/>
      <name val="Arial"/>
      <family val="2"/>
    </font>
    <font>
      <sz val="12"/>
      <color rgb="FF9C6500"/>
      <name val="Calibri"/>
      <family val="2"/>
      <scheme val="minor"/>
    </font>
    <font>
      <sz val="8"/>
      <color rgb="FF00B0F0"/>
      <name val="Arial"/>
      <family val="2"/>
    </font>
    <font>
      <sz val="10"/>
      <color rgb="FF000000"/>
      <name val="Arial"/>
      <family val="2"/>
    </font>
    <font>
      <sz val="10"/>
      <name val="Arial"/>
    </font>
  </fonts>
  <fills count="1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4F3E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7" tint="0.79998168889431442"/>
        <bgColor indexed="64"/>
      </patternFill>
    </fill>
  </fills>
  <borders count="160">
    <border>
      <left/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double">
        <color auto="1"/>
      </left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double">
        <color auto="1"/>
      </left>
      <right/>
      <top style="double">
        <color indexed="8"/>
      </top>
      <bottom/>
      <diagonal/>
    </border>
    <border>
      <left/>
      <right style="double">
        <color auto="1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/>
      <bottom style="double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double">
        <color auto="1"/>
      </right>
      <top/>
      <bottom style="double">
        <color indexed="8"/>
      </bottom>
      <diagonal/>
    </border>
    <border>
      <left style="thin">
        <color auto="1"/>
      </left>
      <right style="double">
        <color auto="1"/>
      </right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auto="1"/>
      </right>
      <top/>
      <bottom style="double">
        <color indexed="8"/>
      </bottom>
      <diagonal/>
    </border>
    <border>
      <left style="thin">
        <color indexed="8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double">
        <color auto="1"/>
      </right>
      <top/>
      <bottom/>
      <diagonal/>
    </border>
    <border>
      <left style="thin">
        <color indexed="8"/>
      </left>
      <right style="double">
        <color auto="1"/>
      </right>
      <top style="double">
        <color indexed="8"/>
      </top>
      <bottom/>
      <diagonal/>
    </border>
    <border>
      <left/>
      <right style="double">
        <color auto="1"/>
      </right>
      <top/>
      <bottom style="thin">
        <color indexed="64"/>
      </bottom>
      <diagonal/>
    </border>
    <border>
      <left style="thin">
        <color indexed="8"/>
      </left>
      <right style="double">
        <color auto="1"/>
      </right>
      <top/>
      <bottom style="double">
        <color indexed="64"/>
      </bottom>
      <diagonal/>
    </border>
    <border>
      <left style="thin">
        <color indexed="8"/>
      </left>
      <right style="double">
        <color auto="1"/>
      </right>
      <top/>
      <bottom style="thick">
        <color indexed="8"/>
      </bottom>
      <diagonal/>
    </border>
    <border>
      <left style="thin">
        <color indexed="64"/>
      </left>
      <right style="double">
        <color auto="1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double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 style="thin">
        <color auto="1"/>
      </left>
      <right style="thin">
        <color auto="1"/>
      </right>
      <top style="double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auto="1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double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 style="thin">
        <color indexed="8"/>
      </bottom>
      <diagonal/>
    </border>
    <border>
      <left style="double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double">
        <color auto="1"/>
      </right>
      <top/>
      <bottom style="thin">
        <color indexed="8"/>
      </bottom>
      <diagonal/>
    </border>
    <border>
      <left style="double">
        <color auto="1"/>
      </left>
      <right style="thin">
        <color auto="1"/>
      </right>
      <top/>
      <bottom style="double">
        <color indexed="8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thin">
        <color indexed="8"/>
      </bottom>
      <diagonal/>
    </border>
    <border>
      <left/>
      <right style="thin">
        <color auto="1"/>
      </right>
      <top style="thin">
        <color indexed="64"/>
      </top>
      <bottom style="double">
        <color indexed="64"/>
      </bottom>
      <diagonal/>
    </border>
    <border>
      <left style="dashed">
        <color auto="1"/>
      </left>
      <right style="double">
        <color auto="1"/>
      </right>
      <top style="thin">
        <color indexed="8"/>
      </top>
      <bottom style="double">
        <color indexed="8"/>
      </bottom>
      <diagonal/>
    </border>
    <border>
      <left style="dashed">
        <color auto="1"/>
      </left>
      <right style="double">
        <color auto="1"/>
      </right>
      <top/>
      <bottom/>
      <diagonal/>
    </border>
    <border>
      <left style="dashed">
        <color auto="1"/>
      </left>
      <right style="double">
        <color auto="1"/>
      </right>
      <top/>
      <bottom style="thin">
        <color indexed="64"/>
      </bottom>
      <diagonal/>
    </border>
    <border>
      <left style="dashed">
        <color auto="1"/>
      </left>
      <right style="double">
        <color auto="1"/>
      </right>
      <top style="thin">
        <color indexed="64"/>
      </top>
      <bottom style="double">
        <color indexed="64"/>
      </bottom>
      <diagonal/>
    </border>
    <border>
      <left style="dashed">
        <color auto="1"/>
      </left>
      <right style="double">
        <color auto="1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dashed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ashed">
        <color indexed="8"/>
      </left>
      <right/>
      <top/>
      <bottom/>
      <diagonal/>
    </border>
    <border>
      <left style="dashed">
        <color indexed="8"/>
      </left>
      <right/>
      <top/>
      <bottom style="thin">
        <color indexed="64"/>
      </bottom>
      <diagonal/>
    </border>
    <border>
      <left style="dashed">
        <color indexed="8"/>
      </left>
      <right style="thin">
        <color indexed="8"/>
      </right>
      <top/>
      <bottom/>
      <diagonal/>
    </border>
    <border>
      <left style="dashed">
        <color indexed="8"/>
      </left>
      <right/>
      <top style="thin">
        <color indexed="64"/>
      </top>
      <bottom style="double">
        <color indexed="64"/>
      </bottom>
      <diagonal/>
    </border>
    <border>
      <left style="dashed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ashed">
        <color indexed="8"/>
      </left>
      <right style="thin">
        <color indexed="8"/>
      </right>
      <top style="double">
        <color indexed="8"/>
      </top>
      <bottom/>
      <diagonal/>
    </border>
    <border>
      <left style="dashed">
        <color indexed="8"/>
      </left>
      <right style="thin">
        <color indexed="8"/>
      </right>
      <top/>
      <bottom style="double">
        <color indexed="8"/>
      </bottom>
      <diagonal/>
    </border>
    <border>
      <left style="dashed">
        <color indexed="8"/>
      </left>
      <right/>
      <top style="double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4">
    <xf numFmtId="0" fontId="0" fillId="0" borderId="0"/>
    <xf numFmtId="0" fontId="7" fillId="0" borderId="0"/>
    <xf numFmtId="0" fontId="8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>
      <alignment vertical="center"/>
    </xf>
    <xf numFmtId="0" fontId="7" fillId="0" borderId="0"/>
    <xf numFmtId="0" fontId="9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8" fillId="0" borderId="0"/>
    <xf numFmtId="0" fontId="12" fillId="0" borderId="0"/>
    <xf numFmtId="0" fontId="28" fillId="0" borderId="0"/>
    <xf numFmtId="9" fontId="8" fillId="0" borderId="0" applyFont="0" applyFill="0" applyBorder="0" applyAlignment="0" applyProtection="0"/>
    <xf numFmtId="0" fontId="12" fillId="0" borderId="0"/>
    <xf numFmtId="0" fontId="3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1" fillId="15" borderId="0" applyNumberFormat="0" applyBorder="0" applyAlignment="0" applyProtection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0" fontId="34" fillId="0" borderId="0"/>
  </cellStyleXfs>
  <cellXfs count="547">
    <xf numFmtId="0" fontId="0" fillId="0" borderId="0" xfId="0"/>
    <xf numFmtId="5" fontId="1" fillId="0" borderId="0" xfId="0" applyNumberFormat="1" applyFont="1"/>
    <xf numFmtId="5" fontId="0" fillId="0" borderId="0" xfId="0" applyNumberFormat="1"/>
    <xf numFmtId="5" fontId="2" fillId="0" borderId="0" xfId="0" applyNumberFormat="1" applyFont="1"/>
    <xf numFmtId="5" fontId="2" fillId="0" borderId="0" xfId="0" applyNumberFormat="1" applyFont="1" applyFill="1"/>
    <xf numFmtId="5" fontId="2" fillId="0" borderId="1" xfId="0" applyNumberFormat="1" applyFont="1" applyFill="1" applyBorder="1"/>
    <xf numFmtId="1" fontId="2" fillId="0" borderId="0" xfId="0" applyNumberFormat="1" applyFont="1" applyFill="1" applyBorder="1" applyAlignment="1">
      <alignment horizontal="center" vertical="center"/>
    </xf>
    <xf numFmtId="6" fontId="2" fillId="0" borderId="3" xfId="0" applyNumberFormat="1" applyFont="1" applyFill="1" applyBorder="1"/>
    <xf numFmtId="6" fontId="2" fillId="0" borderId="4" xfId="0" applyNumberFormat="1" applyFont="1" applyFill="1" applyBorder="1"/>
    <xf numFmtId="5" fontId="2" fillId="0" borderId="13" xfId="0" applyNumberFormat="1" applyFont="1" applyFill="1" applyBorder="1"/>
    <xf numFmtId="5" fontId="2" fillId="0" borderId="0" xfId="0" applyNumberFormat="1" applyFont="1" applyFill="1" applyBorder="1" applyProtection="1"/>
    <xf numFmtId="5" fontId="2" fillId="0" borderId="0" xfId="0" applyNumberFormat="1" applyFont="1" applyFill="1" applyProtection="1"/>
    <xf numFmtId="5" fontId="2" fillId="0" borderId="0" xfId="0" applyNumberFormat="1" applyFont="1" applyFill="1" applyBorder="1"/>
    <xf numFmtId="5" fontId="2" fillId="0" borderId="4" xfId="0" applyNumberFormat="1" applyFont="1" applyBorder="1" applyAlignment="1">
      <alignment horizontal="center" vertical="center"/>
    </xf>
    <xf numFmtId="5" fontId="2" fillId="0" borderId="2" xfId="0" applyNumberFormat="1" applyFont="1" applyBorder="1" applyAlignment="1">
      <alignment horizontal="center" vertical="center"/>
    </xf>
    <xf numFmtId="5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2" fillId="0" borderId="14" xfId="0" applyNumberFormat="1" applyFont="1" applyFill="1" applyBorder="1" applyAlignment="1">
      <alignment horizontal="center" vertical="center"/>
    </xf>
    <xf numFmtId="6" fontId="2" fillId="0" borderId="11" xfId="0" applyNumberFormat="1" applyFont="1" applyFill="1" applyBorder="1"/>
    <xf numFmtId="6" fontId="2" fillId="0" borderId="12" xfId="0" applyNumberFormat="1" applyFont="1" applyFill="1" applyBorder="1"/>
    <xf numFmtId="5" fontId="2" fillId="0" borderId="15" xfId="0" applyNumberFormat="1" applyFont="1" applyFill="1" applyBorder="1"/>
    <xf numFmtId="5" fontId="2" fillId="0" borderId="16" xfId="0" applyNumberFormat="1" applyFont="1" applyFill="1" applyBorder="1"/>
    <xf numFmtId="6" fontId="5" fillId="0" borderId="18" xfId="0" applyNumberFormat="1" applyFont="1" applyFill="1" applyBorder="1"/>
    <xf numFmtId="7" fontId="3" fillId="0" borderId="5" xfId="0" applyNumberFormat="1" applyFont="1" applyFill="1" applyBorder="1"/>
    <xf numFmtId="7" fontId="3" fillId="0" borderId="3" xfId="0" applyNumberFormat="1" applyFont="1" applyFill="1" applyBorder="1"/>
    <xf numFmtId="7" fontId="3" fillId="0" borderId="7" xfId="0" applyNumberFormat="1" applyFont="1" applyFill="1" applyBorder="1"/>
    <xf numFmtId="7" fontId="3" fillId="0" borderId="9" xfId="0" applyNumberFormat="1" applyFont="1" applyFill="1" applyBorder="1"/>
    <xf numFmtId="7" fontId="3" fillId="0" borderId="11" xfId="0" applyNumberFormat="1" applyFont="1" applyFill="1" applyBorder="1"/>
    <xf numFmtId="7" fontId="3" fillId="0" borderId="8" xfId="0" applyNumberFormat="1" applyFont="1" applyFill="1" applyBorder="1"/>
    <xf numFmtId="7" fontId="3" fillId="0" borderId="19" xfId="0" applyNumberFormat="1" applyFont="1" applyFill="1" applyBorder="1"/>
    <xf numFmtId="7" fontId="3" fillId="0" borderId="17" xfId="0" applyNumberFormat="1" applyFont="1" applyFill="1" applyBorder="1"/>
    <xf numFmtId="7" fontId="3" fillId="0" borderId="20" xfId="0" applyNumberFormat="1" applyFont="1" applyFill="1" applyBorder="1"/>
    <xf numFmtId="0" fontId="0" fillId="0" borderId="0" xfId="0" applyFill="1"/>
    <xf numFmtId="164" fontId="3" fillId="0" borderId="11" xfId="0" applyNumberFormat="1" applyFont="1" applyFill="1" applyBorder="1"/>
    <xf numFmtId="164" fontId="3" fillId="0" borderId="5" xfId="0" applyNumberFormat="1" applyFont="1" applyFill="1" applyBorder="1"/>
    <xf numFmtId="164" fontId="3" fillId="0" borderId="3" xfId="0" applyNumberFormat="1" applyFont="1" applyFill="1" applyBorder="1"/>
    <xf numFmtId="164" fontId="3" fillId="0" borderId="7" xfId="0" applyNumberFormat="1" applyFont="1" applyFill="1" applyBorder="1"/>
    <xf numFmtId="164" fontId="3" fillId="0" borderId="9" xfId="0" applyNumberFormat="1" applyFont="1" applyFill="1" applyBorder="1"/>
    <xf numFmtId="5" fontId="0" fillId="0" borderId="0" xfId="0" applyNumberFormat="1" applyBorder="1"/>
    <xf numFmtId="5" fontId="2" fillId="0" borderId="0" xfId="0" applyNumberFormat="1" applyFont="1" applyBorder="1"/>
    <xf numFmtId="14" fontId="2" fillId="0" borderId="0" xfId="0" applyNumberFormat="1" applyFont="1"/>
    <xf numFmtId="5" fontId="2" fillId="0" borderId="22" xfId="0" applyNumberFormat="1" applyFont="1" applyBorder="1" applyAlignment="1">
      <alignment horizontal="center" vertical="center"/>
    </xf>
    <xf numFmtId="5" fontId="2" fillId="0" borderId="23" xfId="0" applyNumberFormat="1" applyFont="1" applyBorder="1" applyAlignment="1">
      <alignment horizontal="center" vertical="center"/>
    </xf>
    <xf numFmtId="5" fontId="2" fillId="0" borderId="28" xfId="0" applyNumberFormat="1" applyFont="1" applyBorder="1" applyAlignment="1">
      <alignment horizontal="center" vertical="center"/>
    </xf>
    <xf numFmtId="5" fontId="2" fillId="0" borderId="29" xfId="0" applyNumberFormat="1" applyFont="1" applyBorder="1" applyAlignment="1">
      <alignment horizontal="center" vertical="center"/>
    </xf>
    <xf numFmtId="5" fontId="2" fillId="0" borderId="30" xfId="0" applyNumberFormat="1" applyFont="1" applyBorder="1" applyAlignment="1">
      <alignment horizontal="center" vertical="center"/>
    </xf>
    <xf numFmtId="5" fontId="2" fillId="0" borderId="31" xfId="0" applyNumberFormat="1" applyFont="1" applyBorder="1" applyAlignment="1">
      <alignment horizontal="center" vertical="center"/>
    </xf>
    <xf numFmtId="5" fontId="2" fillId="0" borderId="34" xfId="0" applyNumberFormat="1" applyFont="1" applyBorder="1" applyAlignment="1">
      <alignment horizontal="center" vertical="center"/>
    </xf>
    <xf numFmtId="5" fontId="2" fillId="0" borderId="32" xfId="0" applyNumberFormat="1" applyFont="1" applyBorder="1" applyAlignment="1">
      <alignment horizontal="center" vertical="center"/>
    </xf>
    <xf numFmtId="5" fontId="2" fillId="0" borderId="33" xfId="0" applyNumberFormat="1" applyFont="1" applyBorder="1" applyAlignment="1">
      <alignment horizontal="center" vertical="center"/>
    </xf>
    <xf numFmtId="164" fontId="3" fillId="0" borderId="8" xfId="0" applyNumberFormat="1" applyFont="1" applyFill="1" applyBorder="1"/>
    <xf numFmtId="164" fontId="0" fillId="0" borderId="0" xfId="0" applyNumberFormat="1"/>
    <xf numFmtId="164" fontId="3" fillId="0" borderId="17" xfId="0" applyNumberFormat="1" applyFont="1" applyFill="1" applyBorder="1"/>
    <xf numFmtId="8" fontId="2" fillId="0" borderId="39" xfId="0" applyNumberFormat="1" applyFont="1" applyBorder="1" applyAlignment="1">
      <alignment horizontal="center" vertical="center"/>
    </xf>
    <xf numFmtId="8" fontId="3" fillId="0" borderId="40" xfId="0" applyNumberFormat="1" applyFont="1" applyFill="1" applyBorder="1"/>
    <xf numFmtId="8" fontId="2" fillId="0" borderId="41" xfId="0" applyNumberFormat="1" applyFont="1" applyFill="1" applyBorder="1"/>
    <xf numFmtId="8" fontId="3" fillId="0" borderId="43" xfId="0" applyNumberFormat="1" applyFont="1" applyFill="1" applyBorder="1"/>
    <xf numFmtId="5" fontId="2" fillId="0" borderId="44" xfId="0" applyNumberFormat="1" applyFont="1" applyBorder="1"/>
    <xf numFmtId="5" fontId="2" fillId="0" borderId="45" xfId="0" applyNumberFormat="1" applyFont="1" applyBorder="1"/>
    <xf numFmtId="9" fontId="0" fillId="0" borderId="0" xfId="0" applyNumberFormat="1" applyBorder="1"/>
    <xf numFmtId="10" fontId="0" fillId="0" borderId="0" xfId="0" applyNumberFormat="1" applyBorder="1"/>
    <xf numFmtId="0" fontId="0" fillId="0" borderId="0" xfId="0" applyBorder="1"/>
    <xf numFmtId="164" fontId="3" fillId="0" borderId="48" xfId="0" applyNumberFormat="1" applyFont="1" applyFill="1" applyBorder="1"/>
    <xf numFmtId="164" fontId="3" fillId="0" borderId="49" xfId="0" applyNumberFormat="1" applyFont="1" applyFill="1" applyBorder="1"/>
    <xf numFmtId="8" fontId="0" fillId="0" borderId="0" xfId="0" applyNumberFormat="1"/>
    <xf numFmtId="8" fontId="6" fillId="0" borderId="0" xfId="0" applyNumberFormat="1" applyFont="1"/>
    <xf numFmtId="8" fontId="3" fillId="0" borderId="0" xfId="0" applyNumberFormat="1" applyFont="1"/>
    <xf numFmtId="164" fontId="3" fillId="0" borderId="51" xfId="0" applyNumberFormat="1" applyFont="1" applyFill="1" applyBorder="1"/>
    <xf numFmtId="44" fontId="3" fillId="0" borderId="3" xfId="0" applyNumberFormat="1" applyFont="1" applyFill="1" applyBorder="1"/>
    <xf numFmtId="164" fontId="2" fillId="0" borderId="0" xfId="0" applyNumberFormat="1" applyFont="1" applyFill="1"/>
    <xf numFmtId="164" fontId="2" fillId="0" borderId="32" xfId="0" applyNumberFormat="1" applyFont="1" applyBorder="1" applyAlignment="1">
      <alignment horizontal="center" vertical="center"/>
    </xf>
    <xf numFmtId="164" fontId="2" fillId="0" borderId="31" xfId="0" applyNumberFormat="1" applyFont="1" applyBorder="1" applyAlignment="1">
      <alignment horizontal="center" vertical="center"/>
    </xf>
    <xf numFmtId="164" fontId="3" fillId="0" borderId="19" xfId="0" applyNumberFormat="1" applyFont="1" applyFill="1" applyBorder="1"/>
    <xf numFmtId="164" fontId="3" fillId="0" borderId="20" xfId="0" applyNumberFormat="1" applyFont="1" applyFill="1" applyBorder="1"/>
    <xf numFmtId="8" fontId="3" fillId="0" borderId="52" xfId="0" applyNumberFormat="1" applyFont="1" applyFill="1" applyBorder="1"/>
    <xf numFmtId="8" fontId="3" fillId="0" borderId="24" xfId="0" applyNumberFormat="1" applyFont="1" applyBorder="1" applyAlignment="1">
      <alignment horizontal="center" vertical="center"/>
    </xf>
    <xf numFmtId="8" fontId="3" fillId="0" borderId="2" xfId="0" applyNumberFormat="1" applyFont="1" applyBorder="1" applyAlignment="1">
      <alignment horizontal="center" vertical="center"/>
    </xf>
    <xf numFmtId="5" fontId="5" fillId="0" borderId="55" xfId="0" applyNumberFormat="1" applyFont="1" applyFill="1" applyBorder="1"/>
    <xf numFmtId="5" fontId="2" fillId="0" borderId="56" xfId="0" applyNumberFormat="1" applyFont="1" applyFill="1" applyBorder="1" applyAlignment="1">
      <alignment horizontal="center" vertical="center"/>
    </xf>
    <xf numFmtId="5" fontId="2" fillId="0" borderId="55" xfId="0" applyNumberFormat="1" applyFont="1" applyFill="1" applyBorder="1" applyAlignment="1">
      <alignment horizontal="center" vertical="center"/>
    </xf>
    <xf numFmtId="6" fontId="2" fillId="0" borderId="58" xfId="0" applyNumberFormat="1" applyFont="1" applyFill="1" applyBorder="1"/>
    <xf numFmtId="5" fontId="2" fillId="0" borderId="59" xfId="0" applyNumberFormat="1" applyFont="1" applyFill="1" applyBorder="1" applyAlignment="1">
      <alignment horizontal="center" vertical="center"/>
    </xf>
    <xf numFmtId="7" fontId="0" fillId="0" borderId="0" xfId="0" applyNumberFormat="1"/>
    <xf numFmtId="8" fontId="3" fillId="0" borderId="2" xfId="0" applyNumberFormat="1" applyFont="1" applyFill="1" applyBorder="1"/>
    <xf numFmtId="8" fontId="3" fillId="0" borderId="53" xfId="0" applyNumberFormat="1" applyFont="1" applyFill="1" applyBorder="1"/>
    <xf numFmtId="8" fontId="3" fillId="0" borderId="0" xfId="0" applyNumberFormat="1" applyFont="1" applyFill="1"/>
    <xf numFmtId="8" fontId="3" fillId="0" borderId="54" xfId="0" applyNumberFormat="1" applyFont="1" applyFill="1" applyBorder="1"/>
    <xf numFmtId="0" fontId="5" fillId="0" borderId="0" xfId="0" applyFont="1"/>
    <xf numFmtId="0" fontId="5" fillId="0" borderId="0" xfId="0" applyFont="1" applyAlignment="1">
      <alignment horizontal="center" vertical="center"/>
    </xf>
    <xf numFmtId="44" fontId="0" fillId="0" borderId="0" xfId="12" applyFont="1"/>
    <xf numFmtId="8" fontId="3" fillId="0" borderId="60" xfId="0" applyNumberFormat="1" applyFont="1" applyFill="1" applyBorder="1"/>
    <xf numFmtId="8" fontId="5" fillId="0" borderId="52" xfId="0" applyNumberFormat="1" applyFont="1" applyFill="1" applyBorder="1"/>
    <xf numFmtId="5" fontId="10" fillId="0" borderId="44" xfId="0" applyNumberFormat="1" applyFont="1" applyBorder="1" applyAlignment="1"/>
    <xf numFmtId="7" fontId="3" fillId="0" borderId="61" xfId="0" applyNumberFormat="1" applyFont="1" applyFill="1" applyBorder="1"/>
    <xf numFmtId="164" fontId="3" fillId="0" borderId="61" xfId="0" applyNumberFormat="1" applyFont="1" applyFill="1" applyBorder="1"/>
    <xf numFmtId="7" fontId="3" fillId="0" borderId="62" xfId="0" applyNumberFormat="1" applyFont="1" applyFill="1" applyBorder="1"/>
    <xf numFmtId="164" fontId="3" fillId="0" borderId="62" xfId="0" applyNumberFormat="1" applyFont="1" applyFill="1" applyBorder="1"/>
    <xf numFmtId="164" fontId="3" fillId="0" borderId="64" xfId="0" applyNumberFormat="1" applyFont="1" applyFill="1" applyBorder="1"/>
    <xf numFmtId="8" fontId="2" fillId="0" borderId="63" xfId="0" applyNumberFormat="1" applyFont="1" applyFill="1" applyBorder="1"/>
    <xf numFmtId="164" fontId="3" fillId="0" borderId="65" xfId="0" applyNumberFormat="1" applyFont="1" applyFill="1" applyBorder="1"/>
    <xf numFmtId="7" fontId="3" fillId="0" borderId="27" xfId="0" applyNumberFormat="1" applyFont="1" applyFill="1" applyBorder="1"/>
    <xf numFmtId="5" fontId="2" fillId="0" borderId="66" xfId="0" applyNumberFormat="1" applyFont="1" applyFill="1" applyBorder="1"/>
    <xf numFmtId="1" fontId="2" fillId="0" borderId="67" xfId="0" applyNumberFormat="1" applyFont="1" applyFill="1" applyBorder="1" applyAlignment="1">
      <alignment horizontal="center" vertical="center"/>
    </xf>
    <xf numFmtId="7" fontId="3" fillId="0" borderId="18" xfId="0" applyNumberFormat="1" applyFont="1" applyFill="1" applyBorder="1"/>
    <xf numFmtId="7" fontId="3" fillId="0" borderId="65" xfId="0" applyNumberFormat="1" applyFont="1" applyFill="1" applyBorder="1"/>
    <xf numFmtId="164" fontId="3" fillId="0" borderId="69" xfId="0" applyNumberFormat="1" applyFont="1" applyFill="1" applyBorder="1"/>
    <xf numFmtId="0" fontId="11" fillId="0" borderId="0" xfId="0" applyFont="1"/>
    <xf numFmtId="0" fontId="8" fillId="0" borderId="0" xfId="13"/>
    <xf numFmtId="44" fontId="0" fillId="0" borderId="0" xfId="0" applyNumberFormat="1"/>
    <xf numFmtId="0" fontId="13" fillId="0" borderId="73" xfId="14" applyFont="1" applyBorder="1" applyAlignment="1">
      <alignment wrapText="1"/>
    </xf>
    <xf numFmtId="0" fontId="8" fillId="0" borderId="74" xfId="13" applyBorder="1"/>
    <xf numFmtId="0" fontId="8" fillId="0" borderId="75" xfId="13" applyBorder="1" applyAlignment="1">
      <alignment horizontal="center"/>
    </xf>
    <xf numFmtId="0" fontId="8" fillId="0" borderId="76" xfId="13" applyBorder="1" applyAlignment="1">
      <alignment horizontal="center"/>
    </xf>
    <xf numFmtId="0" fontId="8" fillId="0" borderId="77" xfId="13" applyBorder="1" applyAlignment="1">
      <alignment vertical="top" wrapText="1"/>
    </xf>
    <xf numFmtId="0" fontId="8" fillId="0" borderId="77" xfId="13" applyBorder="1" applyAlignment="1">
      <alignment horizontal="center" vertical="top" wrapText="1"/>
    </xf>
    <xf numFmtId="15" fontId="0" fillId="0" borderId="0" xfId="0" applyNumberFormat="1"/>
    <xf numFmtId="0" fontId="0" fillId="0" borderId="14" xfId="0" applyBorder="1" applyAlignment="1">
      <alignment horizontal="center" wrapText="1"/>
    </xf>
    <xf numFmtId="0" fontId="8" fillId="0" borderId="78" xfId="13" applyBorder="1" applyAlignment="1">
      <alignment horizontal="center"/>
    </xf>
    <xf numFmtId="0" fontId="14" fillId="0" borderId="79" xfId="0" applyFont="1" applyBorder="1" applyAlignment="1">
      <alignment horizontal="center" vertical="center" wrapText="1"/>
    </xf>
    <xf numFmtId="0" fontId="8" fillId="0" borderId="74" xfId="13" applyBorder="1" applyAlignment="1">
      <alignment horizontal="center"/>
    </xf>
    <xf numFmtId="0" fontId="14" fillId="0" borderId="80" xfId="0" applyFont="1" applyBorder="1" applyAlignment="1">
      <alignment horizontal="center" vertical="center" wrapText="1"/>
    </xf>
    <xf numFmtId="0" fontId="15" fillId="0" borderId="80" xfId="0" applyFont="1" applyBorder="1" applyAlignment="1">
      <alignment horizontal="center" vertical="center" wrapText="1"/>
    </xf>
    <xf numFmtId="7" fontId="3" fillId="0" borderId="0" xfId="0" applyNumberFormat="1" applyFont="1" applyBorder="1"/>
    <xf numFmtId="164" fontId="3" fillId="0" borderId="0" xfId="0" applyNumberFormat="1" applyFont="1" applyBorder="1"/>
    <xf numFmtId="7" fontId="3" fillId="0" borderId="16" xfId="0" applyNumberFormat="1" applyFont="1" applyFill="1" applyBorder="1"/>
    <xf numFmtId="5" fontId="2" fillId="0" borderId="83" xfId="0" applyNumberFormat="1" applyFont="1" applyBorder="1" applyAlignment="1">
      <alignment horizontal="center" vertical="center"/>
    </xf>
    <xf numFmtId="5" fontId="2" fillId="0" borderId="84" xfId="0" applyNumberFormat="1" applyFont="1" applyBorder="1" applyAlignment="1">
      <alignment horizontal="center" vertical="center" wrapText="1"/>
    </xf>
    <xf numFmtId="5" fontId="2" fillId="0" borderId="86" xfId="0" applyNumberFormat="1" applyFont="1" applyBorder="1" applyAlignment="1">
      <alignment horizontal="center" vertical="center"/>
    </xf>
    <xf numFmtId="5" fontId="2" fillId="0" borderId="87" xfId="0" applyNumberFormat="1" applyFont="1" applyBorder="1" applyAlignment="1">
      <alignment horizontal="center" vertical="center"/>
    </xf>
    <xf numFmtId="164" fontId="0" fillId="0" borderId="0" xfId="0" applyNumberFormat="1" applyBorder="1"/>
    <xf numFmtId="164" fontId="2" fillId="0" borderId="0" xfId="0" applyNumberFormat="1" applyFont="1" applyBorder="1"/>
    <xf numFmtId="166" fontId="0" fillId="0" borderId="0" xfId="0" applyNumberFormat="1"/>
    <xf numFmtId="0" fontId="13" fillId="0" borderId="73" xfId="14" applyFont="1" applyBorder="1" applyAlignment="1">
      <alignment horizontal="right" wrapText="1"/>
    </xf>
    <xf numFmtId="0" fontId="17" fillId="0" borderId="77" xfId="13" applyFont="1" applyBorder="1" applyAlignment="1">
      <alignment horizontal="right" vertical="top" wrapText="1"/>
    </xf>
    <xf numFmtId="0" fontId="18" fillId="4" borderId="0" xfId="13" applyFont="1" applyFill="1"/>
    <xf numFmtId="4" fontId="0" fillId="0" borderId="0" xfId="0" applyNumberFormat="1"/>
    <xf numFmtId="0" fontId="0" fillId="5" borderId="0" xfId="0" applyFill="1"/>
    <xf numFmtId="43" fontId="0" fillId="0" borderId="0" xfId="0" applyNumberFormat="1"/>
    <xf numFmtId="167" fontId="0" fillId="0" borderId="0" xfId="0" applyNumberFormat="1"/>
    <xf numFmtId="167" fontId="8" fillId="0" borderId="0" xfId="13" applyNumberFormat="1"/>
    <xf numFmtId="167" fontId="8" fillId="0" borderId="75" xfId="13" applyNumberFormat="1" applyBorder="1" applyAlignment="1">
      <alignment horizontal="center"/>
    </xf>
    <xf numFmtId="167" fontId="8" fillId="0" borderId="76" xfId="13" applyNumberFormat="1" applyBorder="1" applyAlignment="1">
      <alignment horizontal="center"/>
    </xf>
    <xf numFmtId="167" fontId="8" fillId="0" borderId="77" xfId="13" applyNumberFormat="1" applyBorder="1" applyAlignment="1">
      <alignment horizontal="center" vertical="top" wrapText="1"/>
    </xf>
    <xf numFmtId="6" fontId="2" fillId="0" borderId="2" xfId="0" applyNumberFormat="1" applyFont="1" applyFill="1" applyBorder="1"/>
    <xf numFmtId="8" fontId="0" fillId="0" borderId="0" xfId="0" applyNumberFormat="1" applyBorder="1"/>
    <xf numFmtId="6" fontId="2" fillId="0" borderId="85" xfId="0" applyNumberFormat="1" applyFont="1" applyFill="1" applyBorder="1"/>
    <xf numFmtId="8" fontId="3" fillId="0" borderId="85" xfId="0" applyNumberFormat="1" applyFont="1" applyFill="1" applyBorder="1"/>
    <xf numFmtId="8" fontId="3" fillId="0" borderId="99" xfId="0" applyNumberFormat="1" applyFont="1" applyFill="1" applyBorder="1"/>
    <xf numFmtId="8" fontId="2" fillId="0" borderId="89" xfId="0" applyNumberFormat="1" applyFont="1" applyFill="1" applyBorder="1"/>
    <xf numFmtId="8" fontId="5" fillId="0" borderId="0" xfId="12" applyNumberFormat="1" applyFont="1"/>
    <xf numFmtId="8" fontId="5" fillId="0" borderId="0" xfId="12" applyNumberFormat="1" applyFont="1" applyFill="1"/>
    <xf numFmtId="8" fontId="5" fillId="0" borderId="14" xfId="12" applyNumberFormat="1" applyFont="1" applyBorder="1"/>
    <xf numFmtId="8" fontId="5" fillId="0" borderId="14" xfId="12" applyNumberFormat="1" applyFont="1" applyFill="1" applyBorder="1"/>
    <xf numFmtId="164" fontId="5" fillId="0" borderId="24" xfId="12" applyNumberFormat="1" applyFont="1" applyBorder="1"/>
    <xf numFmtId="164" fontId="5" fillId="0" borderId="27" xfId="12" applyNumberFormat="1" applyFont="1" applyBorder="1"/>
    <xf numFmtId="164" fontId="5" fillId="0" borderId="2" xfId="12" applyNumberFormat="1" applyFont="1" applyBorder="1"/>
    <xf numFmtId="164" fontId="5" fillId="0" borderId="61" xfId="12" applyNumberFormat="1" applyFont="1" applyBorder="1"/>
    <xf numFmtId="164" fontId="5" fillId="0" borderId="2" xfId="12" applyNumberFormat="1" applyFont="1" applyFill="1" applyBorder="1"/>
    <xf numFmtId="164" fontId="5" fillId="0" borderId="61" xfId="12" applyNumberFormat="1" applyFont="1" applyFill="1" applyBorder="1"/>
    <xf numFmtId="164" fontId="5" fillId="0" borderId="53" xfId="12" applyNumberFormat="1" applyFont="1" applyBorder="1"/>
    <xf numFmtId="164" fontId="5" fillId="0" borderId="81" xfId="12" applyNumberFormat="1" applyFont="1" applyBorder="1"/>
    <xf numFmtId="164" fontId="5" fillId="0" borderId="53" xfId="12" applyNumberFormat="1" applyFont="1" applyFill="1" applyBorder="1"/>
    <xf numFmtId="164" fontId="5" fillId="0" borderId="81" xfId="12" applyNumberFormat="1" applyFont="1" applyFill="1" applyBorder="1"/>
    <xf numFmtId="8" fontId="3" fillId="0" borderId="51" xfId="0" applyNumberFormat="1" applyFont="1" applyFill="1" applyBorder="1"/>
    <xf numFmtId="44" fontId="2" fillId="0" borderId="86" xfId="12" applyFont="1" applyBorder="1" applyAlignment="1">
      <alignment horizontal="center" vertical="center"/>
    </xf>
    <xf numFmtId="44" fontId="2" fillId="0" borderId="87" xfId="12" applyFont="1" applyBorder="1" applyAlignment="1">
      <alignment horizontal="center" vertical="center"/>
    </xf>
    <xf numFmtId="44" fontId="2" fillId="0" borderId="84" xfId="12" applyFont="1" applyBorder="1" applyAlignment="1">
      <alignment horizontal="center" vertical="center"/>
    </xf>
    <xf numFmtId="5" fontId="21" fillId="0" borderId="0" xfId="0" applyNumberFormat="1" applyFont="1"/>
    <xf numFmtId="6" fontId="21" fillId="0" borderId="0" xfId="0" applyNumberFormat="1" applyFont="1"/>
    <xf numFmtId="5" fontId="10" fillId="0" borderId="0" xfId="0" applyNumberFormat="1" applyFont="1"/>
    <xf numFmtId="6" fontId="10" fillId="0" borderId="0" xfId="0" applyNumberFormat="1" applyFont="1"/>
    <xf numFmtId="7" fontId="3" fillId="0" borderId="94" xfId="0" applyNumberFormat="1" applyFont="1" applyFill="1" applyBorder="1"/>
    <xf numFmtId="7" fontId="3" fillId="0" borderId="70" xfId="0" applyNumberFormat="1" applyFont="1" applyFill="1" applyBorder="1"/>
    <xf numFmtId="7" fontId="3" fillId="0" borderId="81" xfId="0" applyNumberFormat="1" applyFont="1" applyFill="1" applyBorder="1"/>
    <xf numFmtId="7" fontId="3" fillId="0" borderId="100" xfId="0" applyNumberFormat="1" applyFont="1" applyFill="1" applyBorder="1"/>
    <xf numFmtId="5" fontId="10" fillId="2" borderId="27" xfId="0" applyNumberFormat="1" applyFont="1" applyFill="1" applyBorder="1" applyAlignment="1">
      <alignment horizontal="center" vertical="center"/>
    </xf>
    <xf numFmtId="6" fontId="10" fillId="2" borderId="46" xfId="0" applyNumberFormat="1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6" fontId="22" fillId="2" borderId="3" xfId="0" applyNumberFormat="1" applyFont="1" applyFill="1" applyBorder="1" applyAlignment="1">
      <alignment horizontal="center" vertical="center"/>
    </xf>
    <xf numFmtId="5" fontId="23" fillId="2" borderId="31" xfId="0" applyNumberFormat="1" applyFont="1" applyFill="1" applyBorder="1" applyAlignment="1">
      <alignment horizontal="center" vertical="center"/>
    </xf>
    <xf numFmtId="6" fontId="22" fillId="2" borderId="33" xfId="0" applyNumberFormat="1" applyFont="1" applyFill="1" applyBorder="1" applyAlignment="1">
      <alignment horizontal="center" vertical="center"/>
    </xf>
    <xf numFmtId="6" fontId="10" fillId="2" borderId="0" xfId="0" applyNumberFormat="1" applyFont="1" applyFill="1" applyBorder="1"/>
    <xf numFmtId="40" fontId="10" fillId="2" borderId="3" xfId="0" applyNumberFormat="1" applyFont="1" applyFill="1" applyBorder="1"/>
    <xf numFmtId="8" fontId="10" fillId="2" borderId="3" xfId="0" applyNumberFormat="1" applyFont="1" applyFill="1" applyBorder="1"/>
    <xf numFmtId="6" fontId="10" fillId="2" borderId="53" xfId="0" applyNumberFormat="1" applyFont="1" applyFill="1" applyBorder="1"/>
    <xf numFmtId="40" fontId="10" fillId="2" borderId="11" xfId="0" applyNumberFormat="1" applyFont="1" applyFill="1" applyBorder="1"/>
    <xf numFmtId="8" fontId="10" fillId="2" borderId="10" xfId="0" applyNumberFormat="1" applyFont="1" applyFill="1" applyBorder="1"/>
    <xf numFmtId="6" fontId="10" fillId="2" borderId="97" xfId="0" applyNumberFormat="1" applyFont="1" applyFill="1" applyBorder="1"/>
    <xf numFmtId="40" fontId="10" fillId="2" borderId="17" xfId="0" applyNumberFormat="1" applyFont="1" applyFill="1" applyBorder="1"/>
    <xf numFmtId="6" fontId="10" fillId="2" borderId="47" xfId="0" applyNumberFormat="1" applyFont="1" applyFill="1" applyBorder="1"/>
    <xf numFmtId="164" fontId="2" fillId="0" borderId="45" xfId="0" applyNumberFormat="1" applyFont="1" applyBorder="1"/>
    <xf numFmtId="8" fontId="3" fillId="0" borderId="0" xfId="0" applyNumberFormat="1" applyFont="1" applyBorder="1"/>
    <xf numFmtId="8" fontId="2" fillId="0" borderId="0" xfId="0" applyNumberFormat="1" applyFont="1" applyBorder="1"/>
    <xf numFmtId="5" fontId="10" fillId="0" borderId="0" xfId="0" applyNumberFormat="1" applyFont="1" applyBorder="1"/>
    <xf numFmtId="6" fontId="10" fillId="0" borderId="0" xfId="0" applyNumberFormat="1" applyFont="1" applyBorder="1"/>
    <xf numFmtId="6" fontId="2" fillId="0" borderId="0" xfId="0" applyNumberFormat="1" applyFont="1" applyBorder="1"/>
    <xf numFmtId="5" fontId="2" fillId="0" borderId="0" xfId="0" applyNumberFormat="1" applyFont="1" applyBorder="1" applyAlignment="1">
      <alignment horizontal="right" vertical="center"/>
    </xf>
    <xf numFmtId="7" fontId="2" fillId="0" borderId="0" xfId="0" applyNumberFormat="1" applyFont="1" applyBorder="1" applyAlignment="1">
      <alignment vertical="center"/>
    </xf>
    <xf numFmtId="7" fontId="2" fillId="0" borderId="0" xfId="0" applyNumberFormat="1" applyFont="1" applyBorder="1"/>
    <xf numFmtId="44" fontId="2" fillId="0" borderId="0" xfId="12" applyFont="1" applyBorder="1"/>
    <xf numFmtId="5" fontId="5" fillId="0" borderId="0" xfId="0" applyNumberFormat="1" applyFont="1" applyFill="1" applyBorder="1"/>
    <xf numFmtId="8" fontId="6" fillId="0" borderId="0" xfId="0" applyNumberFormat="1" applyFont="1" applyBorder="1"/>
    <xf numFmtId="5" fontId="21" fillId="0" borderId="0" xfId="0" applyNumberFormat="1" applyFont="1" applyBorder="1"/>
    <xf numFmtId="6" fontId="21" fillId="0" borderId="0" xfId="0" applyNumberFormat="1" applyFont="1" applyBorder="1"/>
    <xf numFmtId="6" fontId="0" fillId="0" borderId="0" xfId="0" applyNumberFormat="1" applyBorder="1"/>
    <xf numFmtId="5" fontId="5" fillId="0" borderId="0" xfId="0" applyNumberFormat="1" applyFont="1" applyBorder="1" applyAlignment="1">
      <alignment horizontal="right" vertical="center"/>
    </xf>
    <xf numFmtId="5" fontId="5" fillId="0" borderId="0" xfId="0" applyNumberFormat="1" applyFont="1" applyBorder="1"/>
    <xf numFmtId="5" fontId="4" fillId="0" borderId="0" xfId="0" applyNumberFormat="1" applyFont="1" applyBorder="1"/>
    <xf numFmtId="44" fontId="0" fillId="0" borderId="0" xfId="12" applyFont="1" applyBorder="1"/>
    <xf numFmtId="7" fontId="0" fillId="0" borderId="0" xfId="0" applyNumberFormat="1" applyBorder="1"/>
    <xf numFmtId="0" fontId="5" fillId="0" borderId="0" xfId="0" applyFont="1" applyFill="1" applyBorder="1"/>
    <xf numFmtId="0" fontId="21" fillId="0" borderId="0" xfId="0" applyFont="1" applyBorder="1"/>
    <xf numFmtId="0" fontId="0" fillId="0" borderId="0" xfId="0" applyFill="1" applyBorder="1"/>
    <xf numFmtId="7" fontId="0" fillId="0" borderId="0" xfId="12" applyNumberFormat="1" applyFont="1" applyBorder="1"/>
    <xf numFmtId="7" fontId="3" fillId="0" borderId="106" xfId="0" applyNumberFormat="1" applyFont="1" applyFill="1" applyBorder="1"/>
    <xf numFmtId="164" fontId="0" fillId="6" borderId="108" xfId="0" applyNumberFormat="1" applyFill="1" applyBorder="1" applyAlignment="1">
      <alignment horizontal="center" wrapText="1"/>
    </xf>
    <xf numFmtId="164" fontId="0" fillId="6" borderId="107" xfId="0" applyNumberFormat="1" applyFill="1" applyBorder="1"/>
    <xf numFmtId="0" fontId="0" fillId="7" borderId="69" xfId="0" applyFill="1" applyBorder="1"/>
    <xf numFmtId="0" fontId="0" fillId="7" borderId="14" xfId="0" applyFill="1" applyBorder="1"/>
    <xf numFmtId="0" fontId="0" fillId="7" borderId="108" xfId="0" applyFill="1" applyBorder="1"/>
    <xf numFmtId="164" fontId="0" fillId="7" borderId="68" xfId="0" applyNumberFormat="1" applyFill="1" applyBorder="1"/>
    <xf numFmtId="164" fontId="0" fillId="7" borderId="0" xfId="0" applyNumberFormat="1" applyFill="1" applyBorder="1"/>
    <xf numFmtId="164" fontId="0" fillId="7" borderId="107" xfId="0" applyNumberFormat="1" applyFill="1" applyBorder="1"/>
    <xf numFmtId="0" fontId="0" fillId="7" borderId="68" xfId="0" applyFill="1" applyBorder="1"/>
    <xf numFmtId="0" fontId="0" fillId="7" borderId="0" xfId="0" applyFill="1" applyBorder="1"/>
    <xf numFmtId="0" fontId="0" fillId="7" borderId="107" xfId="0" applyFill="1" applyBorder="1"/>
    <xf numFmtId="0" fontId="0" fillId="8" borderId="14" xfId="0" applyFill="1" applyBorder="1"/>
    <xf numFmtId="164" fontId="0" fillId="8" borderId="0" xfId="0" applyNumberFormat="1" applyFill="1"/>
    <xf numFmtId="0" fontId="0" fillId="8" borderId="0" xfId="0" applyFill="1"/>
    <xf numFmtId="39" fontId="0" fillId="0" borderId="0" xfId="0" applyNumberFormat="1"/>
    <xf numFmtId="164" fontId="0" fillId="0" borderId="0" xfId="12" applyNumberFormat="1" applyFont="1" applyFill="1" applyBorder="1"/>
    <xf numFmtId="0" fontId="0" fillId="0" borderId="0" xfId="0" applyAlignment="1">
      <alignment horizontal="right"/>
    </xf>
    <xf numFmtId="164" fontId="0" fillId="9" borderId="0" xfId="0" applyNumberFormat="1" applyFill="1"/>
    <xf numFmtId="164" fontId="0" fillId="0" borderId="0" xfId="0" applyNumberFormat="1" applyAlignment="1">
      <alignment vertical="center"/>
    </xf>
    <xf numFmtId="164" fontId="0" fillId="0" borderId="109" xfId="0" applyNumberFormat="1" applyBorder="1"/>
    <xf numFmtId="0" fontId="8" fillId="0" borderId="0" xfId="13" applyFill="1" applyBorder="1"/>
    <xf numFmtId="164" fontId="0" fillId="0" borderId="0" xfId="0" applyNumberFormat="1" applyFill="1" applyBorder="1"/>
    <xf numFmtId="0" fontId="13" fillId="0" borderId="0" xfId="14" applyFont="1" applyBorder="1" applyAlignment="1">
      <alignment wrapText="1"/>
    </xf>
    <xf numFmtId="4" fontId="0" fillId="0" borderId="0" xfId="0" applyNumberFormat="1" applyBorder="1"/>
    <xf numFmtId="2" fontId="0" fillId="0" borderId="0" xfId="0" applyNumberFormat="1" applyBorder="1"/>
    <xf numFmtId="164" fontId="0" fillId="9" borderId="110" xfId="0" applyNumberFormat="1" applyFill="1" applyBorder="1"/>
    <xf numFmtId="49" fontId="0" fillId="0" borderId="0" xfId="0" applyNumberFormat="1" applyAlignment="1">
      <alignment horizontal="right"/>
    </xf>
    <xf numFmtId="0" fontId="24" fillId="0" borderId="0" xfId="0" applyFont="1"/>
    <xf numFmtId="164" fontId="0" fillId="9" borderId="0" xfId="0" applyNumberFormat="1" applyFill="1" applyBorder="1"/>
    <xf numFmtId="8" fontId="2" fillId="0" borderId="116" xfId="0" applyNumberFormat="1" applyFont="1" applyBorder="1" applyAlignment="1">
      <alignment horizontal="center" vertical="center"/>
    </xf>
    <xf numFmtId="8" fontId="2" fillId="0" borderId="93" xfId="0" applyNumberFormat="1" applyFont="1" applyBorder="1" applyAlignment="1">
      <alignment horizontal="center" vertical="center"/>
    </xf>
    <xf numFmtId="8" fontId="3" fillId="0" borderId="117" xfId="0" applyNumberFormat="1" applyFont="1" applyFill="1" applyBorder="1"/>
    <xf numFmtId="8" fontId="3" fillId="0" borderId="91" xfId="0" applyNumberFormat="1" applyFont="1" applyFill="1" applyBorder="1"/>
    <xf numFmtId="8" fontId="3" fillId="0" borderId="92" xfId="0" applyNumberFormat="1" applyFont="1" applyFill="1" applyBorder="1"/>
    <xf numFmtId="8" fontId="3" fillId="0" borderId="118" xfId="0" applyNumberFormat="1" applyFont="1" applyFill="1" applyBorder="1"/>
    <xf numFmtId="8" fontId="3" fillId="0" borderId="119" xfId="0" applyNumberFormat="1" applyFont="1" applyFill="1" applyBorder="1"/>
    <xf numFmtId="8" fontId="2" fillId="0" borderId="120" xfId="0" applyNumberFormat="1" applyFont="1" applyFill="1" applyBorder="1"/>
    <xf numFmtId="8" fontId="2" fillId="0" borderId="122" xfId="0" applyNumberFormat="1" applyFont="1" applyFill="1" applyBorder="1"/>
    <xf numFmtId="8" fontId="3" fillId="0" borderId="69" xfId="0" applyNumberFormat="1" applyFont="1" applyFill="1" applyBorder="1"/>
    <xf numFmtId="8" fontId="2" fillId="0" borderId="123" xfId="0" applyNumberFormat="1" applyFont="1" applyBorder="1" applyAlignment="1">
      <alignment horizontal="center" vertical="center" wrapText="1"/>
    </xf>
    <xf numFmtId="8" fontId="3" fillId="0" borderId="124" xfId="0" applyNumberFormat="1" applyFont="1" applyFill="1" applyBorder="1"/>
    <xf numFmtId="8" fontId="3" fillId="0" borderId="125" xfId="0" applyNumberFormat="1" applyFont="1" applyFill="1" applyBorder="1"/>
    <xf numFmtId="8" fontId="2" fillId="0" borderId="126" xfId="0" applyNumberFormat="1" applyFont="1" applyFill="1" applyBorder="1"/>
    <xf numFmtId="8" fontId="2" fillId="0" borderId="127" xfId="0" applyNumberFormat="1" applyFont="1" applyBorder="1" applyAlignment="1">
      <alignment horizontal="center" vertical="center" wrapText="1"/>
    </xf>
    <xf numFmtId="164" fontId="2" fillId="0" borderId="128" xfId="0" applyNumberFormat="1" applyFont="1" applyBorder="1" applyAlignment="1">
      <alignment horizontal="center" vertical="center"/>
    </xf>
    <xf numFmtId="164" fontId="3" fillId="0" borderId="82" xfId="0" applyNumberFormat="1" applyFont="1" applyFill="1" applyBorder="1"/>
    <xf numFmtId="164" fontId="2" fillId="0" borderId="129" xfId="0" applyNumberFormat="1" applyFont="1" applyBorder="1" applyAlignment="1">
      <alignment horizontal="center" vertical="center" wrapText="1"/>
    </xf>
    <xf numFmtId="5" fontId="2" fillId="0" borderId="130" xfId="0" applyNumberFormat="1" applyFont="1" applyBorder="1" applyAlignment="1">
      <alignment horizontal="center" vertical="center" wrapText="1"/>
    </xf>
    <xf numFmtId="164" fontId="3" fillId="0" borderId="131" xfId="0" applyNumberFormat="1" applyFont="1" applyFill="1" applyBorder="1"/>
    <xf numFmtId="164" fontId="3" fillId="0" borderId="132" xfId="0" applyNumberFormat="1" applyFont="1" applyFill="1" applyBorder="1"/>
    <xf numFmtId="164" fontId="3" fillId="0" borderId="133" xfId="0" applyNumberFormat="1" applyFont="1" applyFill="1" applyBorder="1"/>
    <xf numFmtId="164" fontId="3" fillId="0" borderId="134" xfId="0" applyNumberFormat="1" applyFont="1" applyFill="1" applyBorder="1"/>
    <xf numFmtId="164" fontId="3" fillId="0" borderId="135" xfId="0" applyNumberFormat="1" applyFont="1" applyFill="1" applyBorder="1"/>
    <xf numFmtId="7" fontId="3" fillId="0" borderId="134" xfId="0" applyNumberFormat="1" applyFont="1" applyFill="1" applyBorder="1"/>
    <xf numFmtId="7" fontId="3" fillId="0" borderId="82" xfId="0" applyNumberFormat="1" applyFont="1" applyFill="1" applyBorder="1"/>
    <xf numFmtId="164" fontId="3" fillId="0" borderId="0" xfId="0" applyNumberFormat="1" applyFont="1" applyFill="1" applyBorder="1"/>
    <xf numFmtId="7" fontId="3" fillId="0" borderId="0" xfId="0" applyNumberFormat="1" applyFont="1" applyFill="1" applyBorder="1"/>
    <xf numFmtId="7" fontId="3" fillId="0" borderId="14" xfId="0" applyNumberFormat="1" applyFont="1" applyFill="1" applyBorder="1"/>
    <xf numFmtId="164" fontId="3" fillId="0" borderId="14" xfId="0" applyNumberFormat="1" applyFont="1" applyFill="1" applyBorder="1"/>
    <xf numFmtId="164" fontId="3" fillId="0" borderId="136" xfId="0" applyNumberFormat="1" applyFont="1" applyFill="1" applyBorder="1"/>
    <xf numFmtId="7" fontId="3" fillId="0" borderId="136" xfId="0" applyNumberFormat="1" applyFont="1" applyFill="1" applyBorder="1"/>
    <xf numFmtId="164" fontId="3" fillId="0" borderId="137" xfId="0" applyNumberFormat="1" applyFont="1" applyFill="1" applyBorder="1"/>
    <xf numFmtId="164" fontId="2" fillId="0" borderId="138" xfId="0" applyNumberFormat="1" applyFont="1" applyBorder="1" applyAlignment="1">
      <alignment horizontal="center" vertical="center" wrapText="1"/>
    </xf>
    <xf numFmtId="7" fontId="3" fillId="0" borderId="4" xfId="0" applyNumberFormat="1" applyFont="1" applyFill="1" applyBorder="1"/>
    <xf numFmtId="164" fontId="3" fillId="0" borderId="94" xfId="0" applyNumberFormat="1" applyFont="1" applyFill="1" applyBorder="1"/>
    <xf numFmtId="0" fontId="0" fillId="8" borderId="14" xfId="0" applyFill="1" applyBorder="1" applyAlignment="1">
      <alignment wrapText="1"/>
    </xf>
    <xf numFmtId="0" fontId="14" fillId="0" borderId="0" xfId="0" applyFont="1" applyFill="1" applyBorder="1" applyAlignment="1">
      <alignment horizontal="center" vertical="center" wrapText="1"/>
    </xf>
    <xf numFmtId="164" fontId="0" fillId="6" borderId="140" xfId="0" applyNumberFormat="1" applyFill="1" applyBorder="1"/>
    <xf numFmtId="164" fontId="0" fillId="7" borderId="141" xfId="0" applyNumberFormat="1" applyFill="1" applyBorder="1"/>
    <xf numFmtId="164" fontId="0" fillId="7" borderId="110" xfId="0" applyNumberFormat="1" applyFill="1" applyBorder="1"/>
    <xf numFmtId="164" fontId="0" fillId="7" borderId="140" xfId="0" applyNumberFormat="1" applyFill="1" applyBorder="1"/>
    <xf numFmtId="164" fontId="0" fillId="8" borderId="110" xfId="0" applyNumberFormat="1" applyFill="1" applyBorder="1"/>
    <xf numFmtId="8" fontId="3" fillId="0" borderId="52" xfId="0" applyNumberFormat="1" applyFont="1" applyFill="1" applyBorder="1" applyAlignment="1">
      <alignment horizontal="right"/>
    </xf>
    <xf numFmtId="164" fontId="0" fillId="0" borderId="142" xfId="0" applyNumberFormat="1" applyBorder="1"/>
    <xf numFmtId="164" fontId="0" fillId="0" borderId="143" xfId="0" applyNumberFormat="1" applyBorder="1"/>
    <xf numFmtId="164" fontId="0" fillId="0" borderId="143" xfId="0" applyNumberFormat="1" applyBorder="1" applyAlignment="1">
      <alignment horizontal="right" vertical="top"/>
    </xf>
    <xf numFmtId="0" fontId="0" fillId="0" borderId="107" xfId="0" applyBorder="1"/>
    <xf numFmtId="164" fontId="0" fillId="0" borderId="146" xfId="0" applyNumberFormat="1" applyBorder="1"/>
    <xf numFmtId="164" fontId="0" fillId="0" borderId="147" xfId="0" applyNumberFormat="1" applyBorder="1"/>
    <xf numFmtId="164" fontId="0" fillId="9" borderId="136" xfId="0" applyNumberFormat="1" applyFill="1" applyBorder="1"/>
    <xf numFmtId="0" fontId="0" fillId="0" borderId="136" xfId="0" applyBorder="1"/>
    <xf numFmtId="164" fontId="0" fillId="0" borderId="144" xfId="0" applyNumberFormat="1" applyBorder="1"/>
    <xf numFmtId="164" fontId="0" fillId="0" borderId="145" xfId="0" applyNumberFormat="1" applyBorder="1"/>
    <xf numFmtId="164" fontId="0" fillId="9" borderId="146" xfId="0" applyNumberFormat="1" applyFill="1" applyBorder="1"/>
    <xf numFmtId="164" fontId="0" fillId="9" borderId="142" xfId="0" applyNumberFormat="1" applyFill="1" applyBorder="1"/>
    <xf numFmtId="164" fontId="0" fillId="0" borderId="107" xfId="0" applyNumberFormat="1" applyBorder="1"/>
    <xf numFmtId="164" fontId="0" fillId="0" borderId="136" xfId="0" applyNumberFormat="1" applyBorder="1"/>
    <xf numFmtId="0" fontId="0" fillId="0" borderId="48" xfId="0" applyBorder="1"/>
    <xf numFmtId="0" fontId="8" fillId="0" borderId="148" xfId="13" applyBorder="1" applyAlignment="1">
      <alignment vertical="top" wrapText="1"/>
    </xf>
    <xf numFmtId="0" fontId="13" fillId="0" borderId="149" xfId="14" applyFont="1" applyBorder="1" applyAlignment="1">
      <alignment wrapText="1"/>
    </xf>
    <xf numFmtId="0" fontId="8" fillId="0" borderId="150" xfId="13" applyBorder="1" applyAlignment="1">
      <alignment horizontal="center"/>
    </xf>
    <xf numFmtId="0" fontId="8" fillId="0" borderId="151" xfId="13" applyBorder="1"/>
    <xf numFmtId="0" fontId="0" fillId="0" borderId="147" xfId="0" applyBorder="1" applyAlignment="1">
      <alignment horizontal="center" wrapText="1"/>
    </xf>
    <xf numFmtId="0" fontId="0" fillId="0" borderId="143" xfId="0" applyBorder="1" applyAlignment="1">
      <alignment wrapText="1"/>
    </xf>
    <xf numFmtId="0" fontId="0" fillId="0" borderId="145" xfId="0" applyBorder="1" applyAlignment="1">
      <alignment wrapText="1"/>
    </xf>
    <xf numFmtId="164" fontId="0" fillId="0" borderId="141" xfId="0" applyNumberFormat="1" applyBorder="1"/>
    <xf numFmtId="164" fontId="0" fillId="0" borderId="110" xfId="0" applyNumberFormat="1" applyBorder="1"/>
    <xf numFmtId="164" fontId="0" fillId="0" borderId="140" xfId="0" applyNumberFormat="1" applyBorder="1"/>
    <xf numFmtId="164" fontId="0" fillId="9" borderId="141" xfId="0" applyNumberFormat="1" applyFill="1" applyBorder="1"/>
    <xf numFmtId="0" fontId="8" fillId="0" borderId="0" xfId="13" applyFill="1"/>
    <xf numFmtId="164" fontId="0" fillId="0" borderId="136" xfId="0" applyNumberFormat="1" applyFill="1" applyBorder="1"/>
    <xf numFmtId="0" fontId="0" fillId="0" borderId="136" xfId="0" applyFill="1" applyBorder="1"/>
    <xf numFmtId="164" fontId="0" fillId="0" borderId="48" xfId="0" applyNumberFormat="1" applyFill="1" applyBorder="1"/>
    <xf numFmtId="0" fontId="0" fillId="0" borderId="48" xfId="0" applyFill="1" applyBorder="1"/>
    <xf numFmtId="164" fontId="0" fillId="0" borderId="107" xfId="0" applyNumberFormat="1" applyFill="1" applyBorder="1"/>
    <xf numFmtId="0" fontId="0" fillId="0" borderId="147" xfId="0" applyBorder="1" applyAlignment="1">
      <alignment wrapText="1"/>
    </xf>
    <xf numFmtId="0" fontId="8" fillId="0" borderId="152" xfId="13" applyBorder="1" applyAlignment="1">
      <alignment horizontal="center"/>
    </xf>
    <xf numFmtId="0" fontId="8" fillId="0" borderId="153" xfId="13" applyBorder="1"/>
    <xf numFmtId="168" fontId="0" fillId="0" borderId="0" xfId="0" applyNumberFormat="1" applyFill="1" applyBorder="1" applyAlignment="1">
      <alignment horizontal="right" vertical="top"/>
    </xf>
    <xf numFmtId="49" fontId="8" fillId="0" borderId="0" xfId="13" applyNumberFormat="1" applyBorder="1" applyAlignment="1">
      <alignment horizontal="center"/>
    </xf>
    <xf numFmtId="49" fontId="8" fillId="0" borderId="143" xfId="13" applyNumberFormat="1" applyBorder="1" applyAlignment="1">
      <alignment horizontal="center"/>
    </xf>
    <xf numFmtId="0" fontId="13" fillId="0" borderId="143" xfId="14" applyFont="1" applyBorder="1" applyAlignment="1">
      <alignment wrapText="1"/>
    </xf>
    <xf numFmtId="164" fontId="0" fillId="0" borderId="143" xfId="0" applyNumberFormat="1" applyFill="1" applyBorder="1"/>
    <xf numFmtId="0" fontId="13" fillId="0" borderId="110" xfId="14" applyFont="1" applyBorder="1" applyAlignment="1">
      <alignment wrapText="1"/>
    </xf>
    <xf numFmtId="49" fontId="8" fillId="0" borderId="0" xfId="13" applyNumberFormat="1" applyFill="1" applyBorder="1" applyAlignment="1">
      <alignment horizontal="center"/>
    </xf>
    <xf numFmtId="0" fontId="13" fillId="0" borderId="0" xfId="14" applyFont="1" applyFill="1" applyBorder="1" applyAlignment="1">
      <alignment wrapText="1"/>
    </xf>
    <xf numFmtId="4" fontId="0" fillId="0" borderId="0" xfId="0" applyNumberFormat="1" applyFill="1" applyBorder="1"/>
    <xf numFmtId="49" fontId="8" fillId="0" borderId="0" xfId="13" applyNumberFormat="1" applyFill="1" applyAlignment="1">
      <alignment horizontal="center"/>
    </xf>
    <xf numFmtId="0" fontId="0" fillId="0" borderId="107" xfId="0" applyFill="1" applyBorder="1"/>
    <xf numFmtId="4" fontId="0" fillId="0" borderId="107" xfId="0" applyNumberFormat="1" applyFill="1" applyBorder="1"/>
    <xf numFmtId="0" fontId="8" fillId="0" borderId="154" xfId="13" applyBorder="1" applyAlignment="1">
      <alignment vertical="top" wrapText="1"/>
    </xf>
    <xf numFmtId="164" fontId="0" fillId="0" borderId="147" xfId="0" applyNumberFormat="1" applyFill="1" applyBorder="1"/>
    <xf numFmtId="4" fontId="0" fillId="0" borderId="136" xfId="0" applyNumberFormat="1" applyFill="1" applyBorder="1"/>
    <xf numFmtId="164" fontId="0" fillId="9" borderId="140" xfId="0" applyNumberFormat="1" applyFill="1" applyBorder="1"/>
    <xf numFmtId="164" fontId="0" fillId="0" borderId="143" xfId="0" applyNumberFormat="1" applyFill="1" applyBorder="1" applyAlignment="1">
      <alignment horizontal="right" vertical="top"/>
    </xf>
    <xf numFmtId="164" fontId="0" fillId="9" borderId="110" xfId="0" applyNumberFormat="1" applyFill="1" applyBorder="1" applyAlignment="1">
      <alignment horizontal="right" vertical="top"/>
    </xf>
    <xf numFmtId="164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164" fontId="0" fillId="9" borderId="107" xfId="0" applyNumberFormat="1" applyFill="1" applyBorder="1"/>
    <xf numFmtId="49" fontId="8" fillId="0" borderId="0" xfId="13" applyNumberFormat="1" applyBorder="1" applyAlignment="1">
      <alignment horizontal="left"/>
    </xf>
    <xf numFmtId="49" fontId="2" fillId="0" borderId="50" xfId="0" applyNumberFormat="1" applyFont="1" applyFill="1" applyBorder="1" applyAlignment="1">
      <alignment horizontal="center" vertical="center"/>
    </xf>
    <xf numFmtId="164" fontId="2" fillId="0" borderId="103" xfId="0" applyNumberFormat="1" applyFont="1" applyFill="1" applyBorder="1" applyAlignment="1">
      <alignment horizontal="center" vertical="center"/>
    </xf>
    <xf numFmtId="0" fontId="0" fillId="10" borderId="147" xfId="0" applyFill="1" applyBorder="1" applyAlignment="1">
      <alignment wrapText="1"/>
    </xf>
    <xf numFmtId="164" fontId="0" fillId="10" borderId="136" xfId="0" applyNumberFormat="1" applyFill="1" applyBorder="1"/>
    <xf numFmtId="0" fontId="0" fillId="10" borderId="136" xfId="0" applyFill="1" applyBorder="1"/>
    <xf numFmtId="164" fontId="0" fillId="8" borderId="155" xfId="0" applyNumberFormat="1" applyFill="1" applyBorder="1"/>
    <xf numFmtId="164" fontId="0" fillId="10" borderId="156" xfId="0" applyNumberFormat="1" applyFill="1" applyBorder="1"/>
    <xf numFmtId="164" fontId="0" fillId="0" borderId="157" xfId="0" applyNumberFormat="1" applyBorder="1"/>
    <xf numFmtId="164" fontId="0" fillId="0" borderId="156" xfId="0" applyNumberFormat="1" applyBorder="1"/>
    <xf numFmtId="164" fontId="0" fillId="0" borderId="155" xfId="0" applyNumberFormat="1" applyBorder="1"/>
    <xf numFmtId="164" fontId="0" fillId="0" borderId="0" xfId="12" applyNumberFormat="1" applyFont="1"/>
    <xf numFmtId="164" fontId="0" fillId="0" borderId="0" xfId="0" applyNumberFormat="1" applyFill="1"/>
    <xf numFmtId="164" fontId="2" fillId="0" borderId="90" xfId="0" applyNumberFormat="1" applyFont="1" applyFill="1" applyBorder="1"/>
    <xf numFmtId="164" fontId="2" fillId="0" borderId="0" xfId="0" applyNumberFormat="1" applyFont="1" applyFill="1" applyBorder="1"/>
    <xf numFmtId="164" fontId="2" fillId="0" borderId="94" xfId="0" applyNumberFormat="1" applyFont="1" applyFill="1" applyBorder="1" applyAlignment="1">
      <alignment horizontal="center" vertical="center"/>
    </xf>
    <xf numFmtId="49" fontId="2" fillId="0" borderId="31" xfId="0" applyNumberFormat="1" applyFont="1" applyFill="1" applyBorder="1" applyAlignment="1">
      <alignment horizontal="center" vertical="center"/>
    </xf>
    <xf numFmtId="164" fontId="0" fillId="0" borderId="0" xfId="0" applyNumberFormat="1" applyFill="1" applyBorder="1" applyAlignment="1"/>
    <xf numFmtId="7" fontId="3" fillId="0" borderId="28" xfId="0" applyNumberFormat="1" applyFont="1" applyFill="1" applyBorder="1"/>
    <xf numFmtId="164" fontId="3" fillId="0" borderId="139" xfId="0" applyNumberFormat="1" applyFont="1" applyFill="1" applyBorder="1"/>
    <xf numFmtId="164" fontId="3" fillId="0" borderId="4" xfId="0" applyNumberFormat="1" applyFont="1" applyFill="1" applyBorder="1"/>
    <xf numFmtId="164" fontId="3" fillId="0" borderId="81" xfId="0" applyNumberFormat="1" applyFont="1" applyFill="1" applyBorder="1"/>
    <xf numFmtId="164" fontId="3" fillId="0" borderId="21" xfId="0" applyNumberFormat="1" applyFont="1" applyFill="1" applyBorder="1"/>
    <xf numFmtId="164" fontId="3" fillId="0" borderId="100" xfId="0" applyNumberFormat="1" applyFont="1" applyFill="1" applyBorder="1"/>
    <xf numFmtId="164" fontId="0" fillId="9" borderId="156" xfId="0" applyNumberFormat="1" applyFill="1" applyBorder="1"/>
    <xf numFmtId="164" fontId="0" fillId="9" borderId="157" xfId="0" applyNumberFormat="1" applyFill="1" applyBorder="1"/>
    <xf numFmtId="164" fontId="0" fillId="9" borderId="155" xfId="0" applyNumberFormat="1" applyFill="1" applyBorder="1"/>
    <xf numFmtId="44" fontId="0" fillId="0" borderId="136" xfId="0" applyNumberFormat="1" applyBorder="1"/>
    <xf numFmtId="44" fontId="0" fillId="0" borderId="0" xfId="0" applyNumberFormat="1" applyBorder="1"/>
    <xf numFmtId="44" fontId="0" fillId="0" borderId="107" xfId="0" applyNumberFormat="1" applyBorder="1"/>
    <xf numFmtId="49" fontId="8" fillId="0" borderId="107" xfId="13" applyNumberFormat="1" applyBorder="1" applyAlignment="1">
      <alignment horizontal="left"/>
    </xf>
    <xf numFmtId="0" fontId="8" fillId="0" borderId="0" xfId="13" applyBorder="1"/>
    <xf numFmtId="0" fontId="8" fillId="0" borderId="0" xfId="13" applyAlignment="1">
      <alignment horizontal="center"/>
    </xf>
    <xf numFmtId="5" fontId="5" fillId="0" borderId="0" xfId="0" applyNumberFormat="1" applyFont="1"/>
    <xf numFmtId="164" fontId="0" fillId="10" borderId="0" xfId="0" applyNumberFormat="1" applyFill="1" applyBorder="1"/>
    <xf numFmtId="0" fontId="0" fillId="10" borderId="0" xfId="0" applyFill="1" applyBorder="1"/>
    <xf numFmtId="0" fontId="0" fillId="10" borderId="143" xfId="0" applyFill="1" applyBorder="1" applyAlignment="1">
      <alignment wrapText="1"/>
    </xf>
    <xf numFmtId="164" fontId="25" fillId="0" borderId="0" xfId="0" applyNumberFormat="1" applyFont="1" applyFill="1" applyBorder="1" applyAlignment="1"/>
    <xf numFmtId="164" fontId="8" fillId="0" borderId="136" xfId="13" applyNumberFormat="1" applyBorder="1"/>
    <xf numFmtId="49" fontId="8" fillId="0" borderId="0" xfId="13" applyNumberFormat="1"/>
    <xf numFmtId="164" fontId="0" fillId="0" borderId="0" xfId="0" applyNumberFormat="1" applyAlignment="1">
      <alignment horizontal="right" vertical="top"/>
    </xf>
    <xf numFmtId="164" fontId="8" fillId="0" borderId="0" xfId="13" applyNumberFormat="1" applyBorder="1"/>
    <xf numFmtId="164" fontId="0" fillId="11" borderId="143" xfId="0" applyNumberFormat="1" applyFill="1" applyBorder="1"/>
    <xf numFmtId="0" fontId="0" fillId="0" borderId="157" xfId="0" applyBorder="1"/>
    <xf numFmtId="8" fontId="0" fillId="9" borderId="157" xfId="0" applyNumberFormat="1" applyFill="1" applyBorder="1"/>
    <xf numFmtId="164" fontId="0" fillId="6" borderId="155" xfId="0" applyNumberFormat="1" applyFill="1" applyBorder="1"/>
    <xf numFmtId="0" fontId="0" fillId="7" borderId="156" xfId="0" applyFill="1" applyBorder="1"/>
    <xf numFmtId="0" fontId="0" fillId="7" borderId="157" xfId="0" applyFill="1" applyBorder="1"/>
    <xf numFmtId="0" fontId="0" fillId="7" borderId="155" xfId="0" applyFill="1" applyBorder="1"/>
    <xf numFmtId="0" fontId="0" fillId="8" borderId="157" xfId="0" applyFill="1" applyBorder="1"/>
    <xf numFmtId="0" fontId="13" fillId="0" borderId="158" xfId="14" applyFont="1" applyBorder="1" applyAlignment="1">
      <alignment wrapText="1"/>
    </xf>
    <xf numFmtId="164" fontId="0" fillId="0" borderId="0" xfId="0" applyNumberFormat="1" applyFill="1" applyBorder="1" applyAlignment="1">
      <alignment horizontal="right" vertical="top"/>
    </xf>
    <xf numFmtId="0" fontId="8" fillId="0" borderId="157" xfId="13" applyBorder="1" applyAlignment="1">
      <alignment horizontal="center"/>
    </xf>
    <xf numFmtId="0" fontId="8" fillId="0" borderId="157" xfId="13" applyBorder="1"/>
    <xf numFmtId="4" fontId="0" fillId="0" borderId="157" xfId="0" applyNumberFormat="1" applyBorder="1"/>
    <xf numFmtId="164" fontId="0" fillId="0" borderId="157" xfId="0" applyNumberFormat="1" applyBorder="1" applyAlignment="1">
      <alignment vertical="center"/>
    </xf>
    <xf numFmtId="0" fontId="0" fillId="0" borderId="157" xfId="0" applyFill="1" applyBorder="1" applyAlignment="1">
      <alignment vertical="center"/>
    </xf>
    <xf numFmtId="164" fontId="3" fillId="0" borderId="61" xfId="0" applyNumberFormat="1" applyFont="1" applyBorder="1"/>
    <xf numFmtId="164" fontId="3" fillId="0" borderId="81" xfId="0" applyNumberFormat="1" applyFont="1" applyBorder="1"/>
    <xf numFmtId="164" fontId="0" fillId="10" borderId="157" xfId="0" applyNumberFormat="1" applyFill="1" applyBorder="1"/>
    <xf numFmtId="164" fontId="0" fillId="10" borderId="143" xfId="0" applyNumberFormat="1" applyFill="1" applyBorder="1"/>
    <xf numFmtId="164" fontId="27" fillId="0" borderId="0" xfId="0" applyNumberFormat="1" applyFont="1" applyBorder="1"/>
    <xf numFmtId="164" fontId="5" fillId="0" borderId="94" xfId="12" applyNumberFormat="1" applyFont="1" applyBorder="1"/>
    <xf numFmtId="164" fontId="5" fillId="0" borderId="94" xfId="12" applyNumberFormat="1" applyFont="1" applyFill="1" applyBorder="1"/>
    <xf numFmtId="164" fontId="0" fillId="0" borderId="142" xfId="0" applyNumberFormat="1" applyFill="1" applyBorder="1"/>
    <xf numFmtId="164" fontId="6" fillId="0" borderId="0" xfId="0" applyNumberFormat="1" applyFont="1" applyFill="1" applyBorder="1"/>
    <xf numFmtId="8" fontId="0" fillId="0" borderId="159" xfId="0" applyNumberFormat="1" applyBorder="1"/>
    <xf numFmtId="8" fontId="8" fillId="0" borderId="159" xfId="13" applyNumberFormat="1" applyBorder="1" applyAlignment="1">
      <alignment vertical="top" wrapText="1"/>
    </xf>
    <xf numFmtId="8" fontId="8" fillId="0" borderId="159" xfId="13" applyNumberFormat="1" applyBorder="1"/>
    <xf numFmtId="8" fontId="0" fillId="0" borderId="155" xfId="0" applyNumberFormat="1" applyBorder="1"/>
    <xf numFmtId="8" fontId="0" fillId="9" borderId="155" xfId="0" applyNumberFormat="1" applyFill="1" applyBorder="1"/>
    <xf numFmtId="44" fontId="0" fillId="5" borderId="0" xfId="0" applyNumberFormat="1" applyFill="1"/>
    <xf numFmtId="5" fontId="3" fillId="0" borderId="0" xfId="0" applyNumberFormat="1" applyFont="1" applyBorder="1"/>
    <xf numFmtId="8" fontId="26" fillId="0" borderId="0" xfId="0" applyNumberFormat="1" applyFont="1" applyBorder="1"/>
    <xf numFmtId="5" fontId="29" fillId="0" borderId="0" xfId="0" applyNumberFormat="1" applyFont="1" applyBorder="1"/>
    <xf numFmtId="164" fontId="2" fillId="0" borderId="0" xfId="0" applyNumberFormat="1" applyFont="1" applyFill="1" applyAlignment="1">
      <alignment horizontal="left"/>
    </xf>
    <xf numFmtId="164" fontId="6" fillId="12" borderId="0" xfId="0" applyNumberFormat="1" applyFont="1" applyFill="1" applyAlignment="1">
      <alignment wrapText="1"/>
    </xf>
    <xf numFmtId="0" fontId="0" fillId="13" borderId="147" xfId="0" applyFill="1" applyBorder="1" applyAlignment="1">
      <alignment wrapText="1"/>
    </xf>
    <xf numFmtId="0" fontId="0" fillId="13" borderId="143" xfId="0" applyFill="1" applyBorder="1" applyAlignment="1">
      <alignment wrapText="1"/>
    </xf>
    <xf numFmtId="164" fontId="0" fillId="13" borderId="136" xfId="0" applyNumberFormat="1" applyFill="1" applyBorder="1"/>
    <xf numFmtId="164" fontId="0" fillId="13" borderId="0" xfId="0" applyNumberFormat="1" applyFill="1" applyBorder="1"/>
    <xf numFmtId="0" fontId="0" fillId="13" borderId="136" xfId="0" applyFill="1" applyBorder="1"/>
    <xf numFmtId="0" fontId="0" fillId="13" borderId="0" xfId="0" applyFill="1" applyBorder="1"/>
    <xf numFmtId="164" fontId="0" fillId="13" borderId="156" xfId="0" applyNumberFormat="1" applyFill="1" applyBorder="1"/>
    <xf numFmtId="164" fontId="0" fillId="13" borderId="157" xfId="0" applyNumberFormat="1" applyFill="1" applyBorder="1"/>
    <xf numFmtId="164" fontId="0" fillId="13" borderId="143" xfId="0" applyNumberFormat="1" applyFill="1" applyBorder="1"/>
    <xf numFmtId="164" fontId="3" fillId="0" borderId="5" xfId="12" applyNumberFormat="1" applyFont="1" applyFill="1" applyBorder="1"/>
    <xf numFmtId="164" fontId="3" fillId="0" borderId="94" xfId="12" applyNumberFormat="1" applyFont="1" applyFill="1" applyBorder="1"/>
    <xf numFmtId="164" fontId="3" fillId="0" borderId="70" xfId="12" applyNumberFormat="1" applyFont="1" applyFill="1" applyBorder="1"/>
    <xf numFmtId="0" fontId="3" fillId="0" borderId="0" xfId="0" applyFont="1" applyFill="1"/>
    <xf numFmtId="0" fontId="6" fillId="0" borderId="0" xfId="0" applyFont="1"/>
    <xf numFmtId="8" fontId="6" fillId="0" borderId="0" xfId="0" applyNumberFormat="1" applyFont="1" applyFill="1"/>
    <xf numFmtId="0" fontId="6" fillId="0" borderId="0" xfId="0" applyFont="1" applyFill="1"/>
    <xf numFmtId="164" fontId="3" fillId="0" borderId="9" xfId="12" applyNumberFormat="1" applyFont="1" applyFill="1" applyBorder="1"/>
    <xf numFmtId="164" fontId="3" fillId="0" borderId="81" xfId="12" applyNumberFormat="1" applyFont="1" applyFill="1" applyBorder="1"/>
    <xf numFmtId="164" fontId="3" fillId="0" borderId="100" xfId="12" applyNumberFormat="1" applyFont="1" applyFill="1" applyBorder="1"/>
    <xf numFmtId="7" fontId="6" fillId="0" borderId="0" xfId="0" applyNumberFormat="1" applyFont="1" applyFill="1" applyBorder="1"/>
    <xf numFmtId="164" fontId="6" fillId="0" borderId="5" xfId="0" applyNumberFormat="1" applyFont="1" applyFill="1" applyBorder="1"/>
    <xf numFmtId="164" fontId="6" fillId="0" borderId="3" xfId="0" applyNumberFormat="1" applyFont="1" applyFill="1" applyBorder="1"/>
    <xf numFmtId="0" fontId="3" fillId="0" borderId="0" xfId="0" quotePrefix="1" applyFont="1" applyFill="1"/>
    <xf numFmtId="5" fontId="2" fillId="0" borderId="55" xfId="0" applyNumberFormat="1" applyFont="1" applyFill="1" applyBorder="1" applyAlignment="1">
      <alignment horizontal="left"/>
    </xf>
    <xf numFmtId="165" fontId="3" fillId="0" borderId="30" xfId="0" applyNumberFormat="1" applyFont="1" applyFill="1" applyBorder="1" applyAlignment="1">
      <alignment horizontal="center" vertical="center"/>
    </xf>
    <xf numFmtId="2" fontId="3" fillId="14" borderId="0" xfId="0" quotePrefix="1" applyNumberFormat="1" applyFont="1" applyFill="1"/>
    <xf numFmtId="164" fontId="7" fillId="0" borderId="157" xfId="0" applyNumberFormat="1" applyFont="1" applyBorder="1"/>
    <xf numFmtId="8" fontId="6" fillId="0" borderId="155" xfId="13" applyNumberFormat="1" applyFont="1" applyBorder="1"/>
    <xf numFmtId="8" fontId="6" fillId="0" borderId="157" xfId="13" applyNumberFormat="1" applyFont="1" applyBorder="1" applyAlignment="1"/>
    <xf numFmtId="4" fontId="0" fillId="13" borderId="136" xfId="0" applyNumberFormat="1" applyFill="1" applyBorder="1"/>
    <xf numFmtId="166" fontId="16" fillId="0" borderId="75" xfId="18" applyNumberFormat="1" applyFont="1" applyBorder="1" applyAlignment="1">
      <alignment horizontal="center"/>
    </xf>
    <xf numFmtId="166" fontId="16" fillId="3" borderId="75" xfId="18" applyNumberFormat="1" applyFont="1" applyFill="1" applyBorder="1" applyAlignment="1">
      <alignment horizontal="center"/>
    </xf>
    <xf numFmtId="166" fontId="16" fillId="0" borderId="95" xfId="18" applyNumberFormat="1" applyFont="1" applyBorder="1" applyAlignment="1">
      <alignment horizontal="center"/>
    </xf>
    <xf numFmtId="166" fontId="16" fillId="0" borderId="76" xfId="18" applyNumberFormat="1" applyFont="1" applyBorder="1" applyAlignment="1">
      <alignment horizontal="center"/>
    </xf>
    <xf numFmtId="7" fontId="3" fillId="0" borderId="3" xfId="0" applyNumberFormat="1" applyFont="1" applyFill="1" applyBorder="1" applyAlignment="1">
      <alignment horizontal="right"/>
    </xf>
    <xf numFmtId="6" fontId="3" fillId="0" borderId="55" xfId="2" applyNumberFormat="1" applyFont="1" applyFill="1" applyBorder="1"/>
    <xf numFmtId="6" fontId="3" fillId="0" borderId="57" xfId="2" applyNumberFormat="1" applyFont="1" applyFill="1" applyBorder="1"/>
    <xf numFmtId="0" fontId="0" fillId="16" borderId="147" xfId="0" applyFill="1" applyBorder="1" applyAlignment="1">
      <alignment wrapText="1"/>
    </xf>
    <xf numFmtId="0" fontId="0" fillId="16" borderId="143" xfId="0" applyFill="1" applyBorder="1" applyAlignment="1">
      <alignment wrapText="1"/>
    </xf>
    <xf numFmtId="164" fontId="0" fillId="16" borderId="136" xfId="0" applyNumberFormat="1" applyFill="1" applyBorder="1"/>
    <xf numFmtId="164" fontId="0" fillId="16" borderId="0" xfId="0" applyNumberFormat="1" applyFill="1" applyBorder="1"/>
    <xf numFmtId="4" fontId="0" fillId="16" borderId="136" xfId="0" applyNumberFormat="1" applyFill="1" applyBorder="1"/>
    <xf numFmtId="164" fontId="0" fillId="16" borderId="156" xfId="0" applyNumberFormat="1" applyFill="1" applyBorder="1"/>
    <xf numFmtId="164" fontId="0" fillId="16" borderId="157" xfId="0" applyNumberFormat="1" applyFill="1" applyBorder="1"/>
    <xf numFmtId="164" fontId="0" fillId="16" borderId="143" xfId="0" applyNumberFormat="1" applyFill="1" applyBorder="1"/>
    <xf numFmtId="0" fontId="0" fillId="16" borderId="136" xfId="0" applyFill="1" applyBorder="1"/>
    <xf numFmtId="0" fontId="0" fillId="16" borderId="0" xfId="0" applyFill="1" applyBorder="1"/>
    <xf numFmtId="0" fontId="0" fillId="13" borderId="0" xfId="0" applyFill="1" applyAlignment="1">
      <alignment horizontal="right"/>
    </xf>
    <xf numFmtId="0" fontId="3" fillId="0" borderId="0" xfId="0" applyFont="1" applyFill="1"/>
    <xf numFmtId="7" fontId="32" fillId="0" borderId="5" xfId="0" applyNumberFormat="1" applyFont="1" applyFill="1" applyBorder="1"/>
    <xf numFmtId="7" fontId="32" fillId="0" borderId="7" xfId="0" applyNumberFormat="1" applyFont="1" applyFill="1" applyBorder="1"/>
    <xf numFmtId="0" fontId="32" fillId="0" borderId="0" xfId="0" applyFont="1" applyFill="1"/>
    <xf numFmtId="168" fontId="33" fillId="0" borderId="0" xfId="17" applyNumberFormat="1" applyFont="1" applyAlignment="1">
      <alignment horizontal="right" vertical="top"/>
    </xf>
    <xf numFmtId="168" fontId="33" fillId="0" borderId="0" xfId="17" applyNumberFormat="1" applyFont="1" applyAlignment="1">
      <alignment horizontal="right" vertical="top"/>
    </xf>
    <xf numFmtId="164" fontId="32" fillId="0" borderId="3" xfId="0" applyNumberFormat="1" applyFont="1" applyFill="1" applyBorder="1"/>
    <xf numFmtId="164" fontId="32" fillId="0" borderId="5" xfId="0" applyNumberFormat="1" applyFont="1" applyFill="1" applyBorder="1"/>
    <xf numFmtId="8" fontId="3" fillId="0" borderId="11" xfId="0" applyNumberFormat="1" applyFont="1" applyFill="1" applyBorder="1"/>
    <xf numFmtId="7" fontId="5" fillId="0" borderId="28" xfId="0" applyNumberFormat="1" applyFont="1" applyBorder="1" applyAlignment="1">
      <alignment horizontal="center" vertical="center" wrapText="1"/>
    </xf>
    <xf numFmtId="7" fontId="5" fillId="0" borderId="70" xfId="0" applyNumberFormat="1" applyFont="1" applyBorder="1" applyAlignment="1">
      <alignment horizontal="center" vertical="center" wrapText="1"/>
    </xf>
    <xf numFmtId="44" fontId="2" fillId="0" borderId="24" xfId="12" applyFont="1" applyBorder="1" applyAlignment="1">
      <alignment horizontal="center" vertical="center" wrapText="1"/>
    </xf>
    <xf numFmtId="44" fontId="2" fillId="0" borderId="2" xfId="12" applyFont="1" applyBorder="1" applyAlignment="1">
      <alignment horizontal="center" vertical="center" wrapText="1"/>
    </xf>
    <xf numFmtId="44" fontId="2" fillId="0" borderId="27" xfId="12" applyFont="1" applyBorder="1" applyAlignment="1">
      <alignment horizontal="center" vertical="center" wrapText="1"/>
    </xf>
    <xf numFmtId="44" fontId="2" fillId="0" borderId="94" xfId="12" applyFont="1" applyBorder="1" applyAlignment="1">
      <alignment horizontal="center" vertical="center" wrapText="1"/>
    </xf>
    <xf numFmtId="44" fontId="2" fillId="0" borderId="28" xfId="12" applyFont="1" applyBorder="1" applyAlignment="1">
      <alignment horizontal="center" vertical="center" wrapText="1"/>
    </xf>
    <xf numFmtId="44" fontId="2" fillId="0" borderId="70" xfId="12" applyFont="1" applyBorder="1" applyAlignment="1">
      <alignment horizontal="center" vertical="center" wrapText="1"/>
    </xf>
    <xf numFmtId="7" fontId="5" fillId="0" borderId="27" xfId="0" applyNumberFormat="1" applyFont="1" applyBorder="1" applyAlignment="1">
      <alignment horizontal="center" vertical="center" wrapText="1"/>
    </xf>
    <xf numFmtId="7" fontId="5" fillId="0" borderId="94" xfId="0" applyNumberFormat="1" applyFont="1" applyBorder="1" applyAlignment="1">
      <alignment horizontal="center" vertical="center" wrapText="1"/>
    </xf>
    <xf numFmtId="7" fontId="5" fillId="0" borderId="101" xfId="0" applyNumberFormat="1" applyFont="1" applyBorder="1" applyAlignment="1">
      <alignment horizontal="center" vertical="center" wrapText="1"/>
    </xf>
    <xf numFmtId="7" fontId="5" fillId="0" borderId="5" xfId="0" applyNumberFormat="1" applyFont="1" applyBorder="1" applyAlignment="1">
      <alignment horizontal="center" vertical="center" wrapText="1"/>
    </xf>
    <xf numFmtId="5" fontId="2" fillId="0" borderId="25" xfId="0" applyNumberFormat="1" applyFont="1" applyBorder="1" applyAlignment="1">
      <alignment horizontal="center" vertical="center"/>
    </xf>
    <xf numFmtId="5" fontId="2" fillId="0" borderId="23" xfId="0" applyNumberFormat="1" applyFont="1" applyBorder="1" applyAlignment="1">
      <alignment horizontal="center" vertical="center"/>
    </xf>
    <xf numFmtId="5" fontId="2" fillId="0" borderId="26" xfId="0" applyNumberFormat="1" applyFont="1" applyBorder="1" applyAlignment="1">
      <alignment horizontal="center" vertical="center"/>
    </xf>
    <xf numFmtId="5" fontId="2" fillId="0" borderId="112" xfId="0" applyNumberFormat="1" applyFont="1" applyBorder="1" applyAlignment="1">
      <alignment horizontal="center" vertical="center"/>
    </xf>
    <xf numFmtId="5" fontId="2" fillId="0" borderId="6" xfId="0" applyNumberFormat="1" applyFont="1" applyBorder="1" applyAlignment="1">
      <alignment horizontal="center" vertical="center"/>
    </xf>
    <xf numFmtId="5" fontId="2" fillId="0" borderId="121" xfId="0" applyNumberFormat="1" applyFont="1" applyBorder="1" applyAlignment="1">
      <alignment horizontal="center" vertical="center"/>
    </xf>
    <xf numFmtId="5" fontId="2" fillId="0" borderId="35" xfId="0" applyNumberFormat="1" applyFont="1" applyFill="1" applyBorder="1" applyAlignment="1">
      <alignment horizontal="center" vertical="center"/>
    </xf>
    <xf numFmtId="5" fontId="2" fillId="0" borderId="36" xfId="0" applyNumberFormat="1" applyFont="1" applyFill="1" applyBorder="1" applyAlignment="1">
      <alignment horizontal="center" vertical="center"/>
    </xf>
    <xf numFmtId="5" fontId="2" fillId="0" borderId="37" xfId="0" applyNumberFormat="1" applyFont="1" applyFill="1" applyBorder="1" applyAlignment="1">
      <alignment horizontal="center" vertical="center"/>
    </xf>
    <xf numFmtId="5" fontId="2" fillId="0" borderId="72" xfId="0" applyNumberFormat="1" applyFont="1" applyBorder="1" applyAlignment="1">
      <alignment horizontal="center" vertical="center"/>
    </xf>
    <xf numFmtId="5" fontId="2" fillId="0" borderId="71" xfId="0" applyNumberFormat="1" applyFont="1" applyBorder="1" applyAlignment="1">
      <alignment horizontal="center" vertical="center"/>
    </xf>
    <xf numFmtId="164" fontId="2" fillId="0" borderId="35" xfId="0" applyNumberFormat="1" applyFont="1" applyFill="1" applyBorder="1" applyAlignment="1">
      <alignment horizontal="center" vertical="center"/>
    </xf>
    <xf numFmtId="164" fontId="2" fillId="0" borderId="36" xfId="0" applyNumberFormat="1" applyFont="1" applyFill="1" applyBorder="1" applyAlignment="1">
      <alignment horizontal="center" vertical="center"/>
    </xf>
    <xf numFmtId="164" fontId="2" fillId="0" borderId="37" xfId="0" applyNumberFormat="1" applyFont="1" applyFill="1" applyBorder="1" applyAlignment="1">
      <alignment horizontal="center" vertical="center"/>
    </xf>
    <xf numFmtId="5" fontId="2" fillId="0" borderId="77" xfId="0" applyNumberFormat="1" applyFont="1" applyFill="1" applyBorder="1" applyAlignment="1">
      <alignment horizontal="center" vertical="center"/>
    </xf>
    <xf numFmtId="5" fontId="2" fillId="0" borderId="88" xfId="0" applyNumberFormat="1" applyFont="1" applyFill="1" applyBorder="1" applyAlignment="1">
      <alignment horizontal="center" vertical="center"/>
    </xf>
    <xf numFmtId="164" fontId="2" fillId="0" borderId="102" xfId="0" applyNumberFormat="1" applyFont="1" applyFill="1" applyBorder="1" applyAlignment="1">
      <alignment horizontal="center" vertical="center"/>
    </xf>
    <xf numFmtId="164" fontId="2" fillId="0" borderId="104" xfId="0" applyNumberFormat="1" applyFont="1" applyFill="1" applyBorder="1" applyAlignment="1">
      <alignment horizontal="center" vertical="center"/>
    </xf>
    <xf numFmtId="164" fontId="2" fillId="0" borderId="105" xfId="0" applyNumberFormat="1" applyFont="1" applyFill="1" applyBorder="1" applyAlignment="1">
      <alignment horizontal="center" vertical="center"/>
    </xf>
    <xf numFmtId="5" fontId="10" fillId="2" borderId="24" xfId="0" applyNumberFormat="1" applyFont="1" applyFill="1" applyBorder="1" applyAlignment="1">
      <alignment horizontal="center" vertical="center" wrapText="1"/>
    </xf>
    <xf numFmtId="5" fontId="10" fillId="2" borderId="2" xfId="0" applyNumberFormat="1" applyFont="1" applyFill="1" applyBorder="1" applyAlignment="1">
      <alignment horizontal="center" vertical="center" wrapText="1"/>
    </xf>
    <xf numFmtId="5" fontId="10" fillId="2" borderId="96" xfId="0" applyNumberFormat="1" applyFont="1" applyFill="1" applyBorder="1" applyAlignment="1">
      <alignment horizontal="center" vertical="center" wrapText="1"/>
    </xf>
    <xf numFmtId="164" fontId="2" fillId="0" borderId="91" xfId="0" applyNumberFormat="1" applyFont="1" applyFill="1" applyBorder="1" applyAlignment="1">
      <alignment horizontal="center" vertical="center" wrapText="1"/>
    </xf>
    <xf numFmtId="164" fontId="2" fillId="0" borderId="92" xfId="0" applyNumberFormat="1" applyFont="1" applyFill="1" applyBorder="1" applyAlignment="1">
      <alignment horizontal="center" vertical="center" wrapText="1"/>
    </xf>
    <xf numFmtId="164" fontId="2" fillId="0" borderId="93" xfId="0" applyNumberFormat="1" applyFont="1" applyFill="1" applyBorder="1" applyAlignment="1">
      <alignment horizontal="center" vertical="center" wrapText="1"/>
    </xf>
    <xf numFmtId="164" fontId="2" fillId="0" borderId="23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164" fontId="2" fillId="0" borderId="90" xfId="0" applyNumberFormat="1" applyFont="1" applyFill="1" applyBorder="1" applyAlignment="1">
      <alignment horizontal="center" vertical="center" wrapText="1"/>
    </xf>
    <xf numFmtId="164" fontId="2" fillId="0" borderId="48" xfId="0" applyNumberFormat="1" applyFont="1" applyFill="1" applyBorder="1" applyAlignment="1">
      <alignment horizontal="center" vertical="center" wrapText="1"/>
    </xf>
    <xf numFmtId="5" fontId="2" fillId="0" borderId="71" xfId="0" applyNumberFormat="1" applyFont="1" applyBorder="1" applyAlignment="1">
      <alignment horizontal="center" vertical="center" wrapText="1"/>
    </xf>
    <xf numFmtId="5" fontId="2" fillId="0" borderId="85" xfId="0" applyNumberFormat="1" applyFont="1" applyBorder="1" applyAlignment="1">
      <alignment horizontal="center" vertical="center" wrapText="1"/>
    </xf>
    <xf numFmtId="5" fontId="2" fillId="0" borderId="98" xfId="0" applyNumberFormat="1" applyFont="1" applyBorder="1" applyAlignment="1">
      <alignment horizontal="center" vertical="center" wrapText="1"/>
    </xf>
    <xf numFmtId="5" fontId="2" fillId="0" borderId="24" xfId="0" applyNumberFormat="1" applyFont="1" applyBorder="1" applyAlignment="1">
      <alignment horizontal="center" vertical="center" wrapText="1"/>
    </xf>
    <xf numFmtId="5" fontId="2" fillId="0" borderId="2" xfId="0" applyNumberFormat="1" applyFont="1" applyBorder="1" applyAlignment="1">
      <alignment horizontal="center" vertical="center" wrapText="1"/>
    </xf>
    <xf numFmtId="5" fontId="2" fillId="0" borderId="96" xfId="0" applyNumberFormat="1" applyFont="1" applyBorder="1" applyAlignment="1">
      <alignment horizontal="center" vertical="center" wrapText="1"/>
    </xf>
    <xf numFmtId="8" fontId="2" fillId="0" borderId="60" xfId="0" applyNumberFormat="1" applyFont="1" applyFill="1" applyBorder="1" applyAlignment="1">
      <alignment horizontal="center" vertical="center" wrapText="1"/>
    </xf>
    <xf numFmtId="8" fontId="0" fillId="0" borderId="111" xfId="0" applyNumberFormat="1" applyFill="1" applyBorder="1" applyAlignment="1">
      <alignment horizontal="center" vertical="center" wrapText="1"/>
    </xf>
    <xf numFmtId="8" fontId="0" fillId="0" borderId="42" xfId="0" applyNumberFormat="1" applyFill="1" applyBorder="1" applyAlignment="1">
      <alignment horizontal="center" vertical="center" wrapText="1"/>
    </xf>
    <xf numFmtId="5" fontId="2" fillId="0" borderId="113" xfId="0" applyNumberFormat="1" applyFont="1" applyBorder="1" applyAlignment="1">
      <alignment horizontal="center" vertical="center"/>
    </xf>
    <xf numFmtId="5" fontId="2" fillId="0" borderId="114" xfId="0" applyNumberFormat="1" applyFont="1" applyBorder="1" applyAlignment="1">
      <alignment horizontal="center" vertical="center"/>
    </xf>
    <xf numFmtId="5" fontId="2" fillId="0" borderId="115" xfId="0" applyNumberFormat="1" applyFont="1" applyBorder="1" applyAlignment="1">
      <alignment horizontal="center" vertical="center"/>
    </xf>
    <xf numFmtId="5" fontId="2" fillId="0" borderId="38" xfId="0" applyNumberFormat="1" applyFont="1" applyBorder="1" applyAlignment="1">
      <alignment horizontal="center" vertical="center"/>
    </xf>
    <xf numFmtId="5" fontId="2" fillId="0" borderId="14" xfId="0" applyNumberFormat="1" applyFont="1" applyBorder="1" applyAlignment="1">
      <alignment horizontal="center" vertical="center"/>
    </xf>
    <xf numFmtId="5" fontId="2" fillId="0" borderId="57" xfId="0" applyNumberFormat="1" applyFont="1" applyBorder="1" applyAlignment="1">
      <alignment horizontal="center" vertical="center"/>
    </xf>
    <xf numFmtId="15" fontId="0" fillId="0" borderId="136" xfId="0" applyNumberFormat="1" applyBorder="1" applyAlignment="1">
      <alignment horizontal="center"/>
    </xf>
    <xf numFmtId="15" fontId="0" fillId="0" borderId="0" xfId="0" applyNumberFormat="1" applyBorder="1" applyAlignment="1">
      <alignment horizontal="center"/>
    </xf>
    <xf numFmtId="15" fontId="0" fillId="0" borderId="107" xfId="0" applyNumberFormat="1" applyBorder="1" applyAlignment="1">
      <alignment horizontal="center"/>
    </xf>
    <xf numFmtId="0" fontId="0" fillId="0" borderId="13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7" xfId="0" applyBorder="1" applyAlignment="1">
      <alignment horizontal="center"/>
    </xf>
    <xf numFmtId="44" fontId="0" fillId="0" borderId="136" xfId="0" applyNumberFormat="1" applyBorder="1" applyAlignment="1">
      <alignment horizontal="center"/>
    </xf>
    <xf numFmtId="44" fontId="0" fillId="0" borderId="0" xfId="0" applyNumberFormat="1" applyBorder="1" applyAlignment="1">
      <alignment horizontal="center"/>
    </xf>
    <xf numFmtId="44" fontId="0" fillId="0" borderId="107" xfId="0" applyNumberFormat="1" applyBorder="1" applyAlignment="1">
      <alignment horizontal="center"/>
    </xf>
    <xf numFmtId="164" fontId="0" fillId="0" borderId="136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107" xfId="0" applyNumberFormat="1" applyBorder="1" applyAlignment="1">
      <alignment horizontal="center"/>
    </xf>
    <xf numFmtId="0" fontId="0" fillId="0" borderId="0" xfId="0" applyAlignment="1">
      <alignment horizontal="left" vertical="center" wrapText="1"/>
    </xf>
  </cellXfs>
  <cellStyles count="34">
    <cellStyle name="Comma 2" xfId="9" xr:uid="{00000000-0005-0000-0000-000000000000}"/>
    <cellStyle name="Comma 2 2" xfId="23" xr:uid="{44403FF3-46C6-4DFC-AC5B-AFAEA8713387}"/>
    <cellStyle name="Comma 3" xfId="3" xr:uid="{00000000-0005-0000-0000-000001000000}"/>
    <cellStyle name="Comma 3 2" xfId="27" xr:uid="{CC8DE140-E900-4D72-AC6D-A12A90BCBCE7}"/>
    <cellStyle name="Comma 4" xfId="19" xr:uid="{C170126A-B81C-4B88-9AC7-01435BF49133}"/>
    <cellStyle name="Currency" xfId="12" builtinId="4"/>
    <cellStyle name="Currency 2" xfId="11" xr:uid="{00000000-0005-0000-0000-000002000000}"/>
    <cellStyle name="Currency 2 2" xfId="25" xr:uid="{587A81FC-0AD2-4F2E-A125-B491168985D0}"/>
    <cellStyle name="Currency 3" xfId="5" xr:uid="{00000000-0005-0000-0000-000003000000}"/>
    <cellStyle name="Currency 3 2" xfId="29" xr:uid="{D34783F1-DD9D-4282-835D-38FFF7F702E5}"/>
    <cellStyle name="Currency 4" xfId="20" xr:uid="{2A476D97-8EA0-4A1B-960C-E5D447514285}"/>
    <cellStyle name="Neutral 2" xfId="26" xr:uid="{E2470CB7-DA59-40E7-8A4C-A479F5317609}"/>
    <cellStyle name="Normal" xfId="0" builtinId="0"/>
    <cellStyle name="Normal 2" xfId="1" xr:uid="{00000000-0005-0000-0000-000005000000}"/>
    <cellStyle name="Normal 2 2" xfId="6" xr:uid="{00000000-0005-0000-0000-000006000000}"/>
    <cellStyle name="Normal 2 2 2" xfId="30" xr:uid="{978BFA47-90EC-4A4B-8479-AF5A89289FF1}"/>
    <cellStyle name="Normal 2 3" xfId="13" xr:uid="{00000000-0005-0000-0000-000002000000}"/>
    <cellStyle name="Normal 2 4" xfId="21" xr:uid="{EB97CDF6-6F61-4E61-BEBE-52865812CB54}"/>
    <cellStyle name="Normal 3" xfId="8" xr:uid="{00000000-0005-0000-0000-000007000000}"/>
    <cellStyle name="Normal 3 2" xfId="22" xr:uid="{616CCA38-4E3D-4AC4-BD88-8CEE854D5867}"/>
    <cellStyle name="Normal 4" xfId="7" xr:uid="{00000000-0005-0000-0000-000008000000}"/>
    <cellStyle name="Normal 5" xfId="2" xr:uid="{00000000-0005-0000-0000-000009000000}"/>
    <cellStyle name="Normal 6" xfId="15" xr:uid="{442FA8D0-B305-4EBE-952E-947CCC7D3A93}"/>
    <cellStyle name="Normal 6 2" xfId="31" xr:uid="{162B0562-A9BF-4006-BC9B-FBE8354BEA20}"/>
    <cellStyle name="Normal 7" xfId="17" xr:uid="{E5938E3B-25CB-423D-9B77-5129DBCABE0C}"/>
    <cellStyle name="Normal 8" xfId="18" xr:uid="{E6F0C051-7AF3-4C23-B012-94375835FA34}"/>
    <cellStyle name="Normal 8 2" xfId="32" xr:uid="{A069A158-693A-4EB4-B203-6025DDF28147}"/>
    <cellStyle name="Normal 9" xfId="33" xr:uid="{7315CA8E-28B6-4A87-9D42-F559170985BA}"/>
    <cellStyle name="Normal_Sheet1" xfId="14" xr:uid="{660F31EA-8AD3-4FD7-B8C2-C95BD61A797B}"/>
    <cellStyle name="Percent 2" xfId="10" xr:uid="{00000000-0005-0000-0000-00000A000000}"/>
    <cellStyle name="Percent 2 2" xfId="24" xr:uid="{19D0B55B-631B-48CD-AA17-7CF3F8B9515E}"/>
    <cellStyle name="Percent 3" xfId="4" xr:uid="{00000000-0005-0000-0000-00000B000000}"/>
    <cellStyle name="Percent 3 2" xfId="28" xr:uid="{4BE3A6B7-029B-44CE-97DE-43D2B4E25C2A}"/>
    <cellStyle name="Percent 4" xfId="16" xr:uid="{B7EFC44A-7051-4BB4-9D7E-AA5AD198CAB2}"/>
  </cellStyles>
  <dxfs count="0"/>
  <tableStyles count="0" defaultTableStyle="TableStyleMedium9" defaultPivotStyle="PivotStyleLight16"/>
  <colors>
    <mruColors>
      <color rgb="FF99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F113"/>
  <sheetViews>
    <sheetView tabSelected="1" zoomScale="80" zoomScaleNormal="80"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AJ113" sqref="AJ113"/>
    </sheetView>
  </sheetViews>
  <sheetFormatPr defaultRowHeight="15" x14ac:dyDescent="0.25"/>
  <cols>
    <col min="1" max="1" width="14.28515625" style="61" customWidth="1"/>
    <col min="2" max="2" width="4.42578125" style="61" bestFit="1" customWidth="1"/>
    <col min="3" max="3" width="12.7109375" style="210" customWidth="1"/>
    <col min="4" max="4" width="15.140625" style="201" bestFit="1" customWidth="1"/>
    <col min="5" max="5" width="16.140625" style="129" customWidth="1"/>
    <col min="6" max="6" width="15.140625" style="129" customWidth="1"/>
    <col min="7" max="8" width="14.85546875" style="129" customWidth="1"/>
    <col min="9" max="11" width="13.85546875" style="129" customWidth="1"/>
    <col min="12" max="12" width="14.28515625" style="144" customWidth="1"/>
    <col min="13" max="13" width="13.28515625" style="61" customWidth="1"/>
    <col min="14" max="16" width="12.7109375" style="61" customWidth="1"/>
    <col min="17" max="17" width="13.28515625" style="61" hidden="1" customWidth="1"/>
    <col min="18" max="20" width="12.7109375" style="61" hidden="1" customWidth="1"/>
    <col min="21" max="21" width="13.28515625" style="61" hidden="1" customWidth="1"/>
    <col min="22" max="24" width="12.7109375" style="61" hidden="1" customWidth="1"/>
    <col min="25" max="25" width="13.28515625" style="61" hidden="1" customWidth="1"/>
    <col min="26" max="28" width="12.7109375" style="61" hidden="1" customWidth="1"/>
    <col min="29" max="29" width="13.28515625" style="61" hidden="1" customWidth="1"/>
    <col min="30" max="30" width="12.7109375" style="61" hidden="1" customWidth="1"/>
    <col min="31" max="32" width="11" style="61" hidden="1" customWidth="1"/>
    <col min="33" max="33" width="15.7109375" style="61" customWidth="1"/>
    <col min="34" max="34" width="17" style="61" customWidth="1"/>
    <col min="35" max="36" width="14.7109375" style="211" customWidth="1"/>
    <col min="37" max="37" width="16.7109375" style="203" bestFit="1" customWidth="1"/>
    <col min="38" max="38" width="12.7109375" style="61" hidden="1" customWidth="1"/>
    <col min="39" max="41" width="12.7109375" style="61" customWidth="1"/>
    <col min="42" max="42" width="14.85546875" style="129" customWidth="1"/>
    <col min="43" max="46" width="12.7109375" style="61" customWidth="1"/>
    <col min="47" max="47" width="14.85546875" style="129" customWidth="1"/>
    <col min="48" max="51" width="12.7109375" style="61" customWidth="1"/>
    <col min="52" max="52" width="14.85546875" style="129" customWidth="1"/>
    <col min="53" max="56" width="12.7109375" style="61" customWidth="1"/>
    <col min="57" max="57" width="14.85546875" style="129" customWidth="1"/>
    <col min="58" max="61" width="12.7109375" style="61" customWidth="1"/>
    <col min="62" max="62" width="14.85546875" style="129" customWidth="1"/>
    <col min="63" max="63" width="12.7109375" style="61" customWidth="1"/>
    <col min="64" max="64" width="14.140625" style="61" bestFit="1" customWidth="1"/>
    <col min="65" max="66" width="12.7109375" style="61" customWidth="1"/>
    <col min="67" max="67" width="14.85546875" style="129" customWidth="1"/>
    <col min="68" max="68" width="12.7109375" style="61" customWidth="1"/>
    <col min="69" max="71" width="12.7109375" style="129" customWidth="1"/>
    <col min="72" max="72" width="14.28515625" style="129" customWidth="1"/>
    <col min="73" max="76" width="12.7109375" style="61" customWidth="1"/>
    <col min="77" max="77" width="13.85546875" style="129" customWidth="1"/>
    <col min="78" max="81" width="12.7109375" style="61" customWidth="1"/>
    <col min="82" max="82" width="12.7109375" style="129" customWidth="1"/>
    <col min="83" max="85" width="12.7109375" style="61" customWidth="1"/>
    <col min="86" max="86" width="14.42578125" style="61" customWidth="1"/>
    <col min="87" max="87" width="12.7109375" style="129" customWidth="1"/>
    <col min="88" max="91" width="12.7109375" style="61" customWidth="1"/>
    <col min="92" max="92" width="12.7109375" style="129" customWidth="1"/>
    <col min="93" max="96" width="12.7109375" style="61" customWidth="1"/>
    <col min="97" max="97" width="12.7109375" style="129" customWidth="1"/>
    <col min="98" max="98" width="12.7109375" style="61" customWidth="1"/>
    <col min="99" max="99" width="14.28515625" style="208" customWidth="1"/>
    <col min="100" max="100" width="14.7109375" style="208" customWidth="1"/>
    <col min="101" max="101" width="14.28515625" style="208" customWidth="1"/>
    <col min="102" max="102" width="15.28515625" style="208" customWidth="1"/>
    <col min="103" max="106" width="13.85546875" style="209" bestFit="1" customWidth="1"/>
    <col min="107" max="107" width="42.7109375" style="87" bestFit="1" customWidth="1"/>
    <col min="108" max="109" width="14.28515625" bestFit="1" customWidth="1"/>
    <col min="110" max="110" width="11.5703125" bestFit="1" customWidth="1"/>
  </cols>
  <sheetData>
    <row r="1" spans="1:110" ht="18" x14ac:dyDescent="0.25">
      <c r="A1" s="1" t="s">
        <v>116</v>
      </c>
      <c r="B1" s="2"/>
      <c r="C1" s="77"/>
      <c r="D1" s="65"/>
      <c r="E1" s="356"/>
      <c r="F1" s="356"/>
      <c r="G1" s="236"/>
      <c r="H1" s="361"/>
      <c r="I1" s="361"/>
      <c r="J1" s="361"/>
      <c r="K1" s="361"/>
      <c r="L1" s="381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77" t="s">
        <v>299</v>
      </c>
      <c r="AJ1" s="167"/>
      <c r="AK1" s="168"/>
      <c r="AL1" s="2"/>
      <c r="AM1" s="2"/>
      <c r="AN1" s="2"/>
      <c r="AO1" s="2"/>
      <c r="AP1" s="51"/>
      <c r="AQ1" s="2"/>
      <c r="AR1" s="2"/>
      <c r="AS1" s="2"/>
      <c r="AT1" s="2"/>
      <c r="AU1" s="51"/>
      <c r="AV1" s="2"/>
      <c r="AW1" s="2"/>
      <c r="AX1" s="2"/>
      <c r="AY1" s="2"/>
      <c r="AZ1" s="51"/>
      <c r="BA1" s="2"/>
      <c r="BB1" s="2"/>
      <c r="BC1" s="2"/>
      <c r="BD1" s="2"/>
      <c r="BE1" s="51"/>
      <c r="BF1" s="2"/>
      <c r="BG1" s="2"/>
      <c r="BH1" s="2"/>
      <c r="BI1" s="2"/>
      <c r="BJ1" s="51"/>
      <c r="BK1" s="2"/>
      <c r="BL1" s="2"/>
      <c r="BM1" s="2"/>
      <c r="BN1" s="2"/>
      <c r="BO1" s="51"/>
      <c r="BP1" s="2"/>
      <c r="BQ1" s="51"/>
      <c r="BR1" s="51"/>
      <c r="BS1" s="51"/>
      <c r="BT1" s="51"/>
      <c r="BU1" s="2"/>
      <c r="BV1" s="2"/>
      <c r="BW1" s="2"/>
      <c r="BX1" s="2"/>
      <c r="BY1" s="51"/>
      <c r="BZ1" s="2"/>
      <c r="CA1" s="2"/>
      <c r="CB1" s="2"/>
      <c r="CC1" s="2"/>
      <c r="CD1" s="51"/>
      <c r="CE1" s="2"/>
      <c r="CF1" s="2"/>
      <c r="CG1" s="2"/>
      <c r="CH1" s="2"/>
      <c r="CI1" s="51"/>
      <c r="CJ1" s="2"/>
      <c r="CK1" s="2"/>
      <c r="CL1" s="2"/>
      <c r="CM1" s="2"/>
      <c r="CN1" s="51"/>
      <c r="CO1" s="2"/>
      <c r="CP1" s="2"/>
      <c r="CQ1" s="2"/>
      <c r="CR1" s="2"/>
      <c r="CS1" s="51"/>
      <c r="CT1" s="2"/>
      <c r="CU1" s="89"/>
      <c r="CV1" s="89"/>
      <c r="CW1" s="89"/>
      <c r="CX1" s="89"/>
      <c r="CY1" s="82"/>
      <c r="CZ1" s="82"/>
      <c r="DA1" s="82"/>
      <c r="DB1" s="82"/>
    </row>
    <row r="2" spans="1:110" ht="15.75" thickBot="1" x14ac:dyDescent="0.3">
      <c r="A2" s="40">
        <v>45741</v>
      </c>
      <c r="B2" s="3"/>
      <c r="C2" s="444" t="s">
        <v>302</v>
      </c>
      <c r="D2" s="66" t="s">
        <v>288</v>
      </c>
      <c r="E2" s="69"/>
      <c r="F2" s="419"/>
      <c r="G2" s="357"/>
      <c r="H2" s="357"/>
      <c r="I2" s="358"/>
      <c r="J2" s="358"/>
      <c r="K2" s="358"/>
      <c r="L2" s="4" t="s">
        <v>247</v>
      </c>
      <c r="M2" s="39"/>
      <c r="N2" s="39"/>
      <c r="O2" s="57"/>
      <c r="P2" s="39"/>
      <c r="Q2" s="39"/>
      <c r="R2" s="39"/>
      <c r="S2" s="57"/>
      <c r="T2" s="39"/>
      <c r="U2" s="39"/>
      <c r="V2" s="39"/>
      <c r="W2" s="57"/>
      <c r="X2" s="39"/>
      <c r="Y2" s="39"/>
      <c r="Z2" s="39"/>
      <c r="AA2" s="57"/>
      <c r="AB2" s="39"/>
      <c r="AC2" s="39"/>
      <c r="AD2" s="39"/>
      <c r="AE2" s="57"/>
      <c r="AF2" s="39"/>
      <c r="AG2" s="39"/>
      <c r="AH2" s="39"/>
      <c r="AI2" s="3" t="s">
        <v>287</v>
      </c>
      <c r="AJ2" s="169"/>
      <c r="AK2" s="170"/>
      <c r="AL2" s="3"/>
      <c r="AM2" s="10"/>
      <c r="AN2" s="11"/>
      <c r="AO2" s="11"/>
      <c r="AP2" s="69"/>
      <c r="AQ2" s="3"/>
      <c r="AR2" s="3"/>
      <c r="AS2" s="3"/>
      <c r="AT2" s="3"/>
      <c r="AU2" s="69"/>
      <c r="AV2" s="3"/>
      <c r="AW2" s="3"/>
      <c r="AX2" s="3"/>
      <c r="AY2" s="3"/>
      <c r="AZ2" s="69"/>
      <c r="BA2" s="3"/>
      <c r="BB2" s="92"/>
      <c r="BC2" s="92"/>
      <c r="BD2" s="92"/>
      <c r="BE2" s="69"/>
      <c r="BF2" s="3"/>
      <c r="BG2" s="3"/>
      <c r="BH2" s="3"/>
      <c r="BI2" s="3"/>
      <c r="BJ2" s="69"/>
      <c r="BK2" s="3"/>
      <c r="BL2" s="3"/>
      <c r="BM2" s="3"/>
      <c r="BN2" s="3"/>
      <c r="BO2" s="69"/>
      <c r="BP2" s="3"/>
      <c r="BQ2" s="69"/>
      <c r="BR2" s="51"/>
      <c r="BS2" s="69"/>
      <c r="BT2" s="69"/>
      <c r="BU2" s="3"/>
      <c r="BV2" s="4" t="s">
        <v>0</v>
      </c>
      <c r="BW2" s="4"/>
      <c r="BX2" s="4"/>
      <c r="BY2" s="69"/>
      <c r="BZ2" s="3"/>
      <c r="CA2" s="4"/>
      <c r="CB2" s="4"/>
      <c r="CC2" s="12"/>
      <c r="CD2" s="69"/>
      <c r="CE2" s="3"/>
      <c r="CF2" s="12"/>
      <c r="CG2" s="12"/>
      <c r="CH2" s="12"/>
      <c r="CI2" s="69"/>
      <c r="CJ2" s="3"/>
      <c r="CK2" s="3"/>
      <c r="CL2" s="2"/>
      <c r="CM2" s="2"/>
      <c r="CN2" s="69"/>
      <c r="CO2" s="3"/>
      <c r="CP2" s="2"/>
      <c r="CQ2" s="2"/>
      <c r="CR2" s="2"/>
      <c r="CS2" s="69"/>
      <c r="CT2" s="3"/>
      <c r="CU2" s="89"/>
      <c r="CV2" s="89"/>
      <c r="CW2" s="89"/>
      <c r="CX2" s="89"/>
      <c r="CY2" s="82"/>
      <c r="CZ2" s="82"/>
      <c r="DA2" s="82"/>
      <c r="DB2" s="82"/>
    </row>
    <row r="3" spans="1:110" s="16" customFormat="1" ht="18.75" customHeight="1" thickTop="1" x14ac:dyDescent="0.25">
      <c r="A3" s="41"/>
      <c r="B3" s="42"/>
      <c r="C3" s="78"/>
      <c r="D3" s="75" t="s">
        <v>6</v>
      </c>
      <c r="E3" s="506" t="s">
        <v>120</v>
      </c>
      <c r="F3" s="507"/>
      <c r="G3" s="507"/>
      <c r="H3" s="508"/>
      <c r="I3" s="512" t="s">
        <v>234</v>
      </c>
      <c r="J3" s="515" t="s">
        <v>237</v>
      </c>
      <c r="K3" s="512" t="s">
        <v>244</v>
      </c>
      <c r="L3" s="525" t="s">
        <v>238</v>
      </c>
      <c r="M3" s="490"/>
      <c r="N3" s="491"/>
      <c r="O3" s="491"/>
      <c r="P3" s="492"/>
      <c r="Q3" s="490"/>
      <c r="R3" s="491"/>
      <c r="S3" s="491"/>
      <c r="T3" s="492"/>
      <c r="U3" s="490"/>
      <c r="V3" s="491"/>
      <c r="W3" s="491"/>
      <c r="X3" s="492"/>
      <c r="Y3" s="490"/>
      <c r="Z3" s="491"/>
      <c r="AA3" s="491"/>
      <c r="AB3" s="492"/>
      <c r="AC3" s="490"/>
      <c r="AD3" s="491"/>
      <c r="AE3" s="491"/>
      <c r="AF3" s="492"/>
      <c r="AG3" s="522" t="s">
        <v>246</v>
      </c>
      <c r="AH3" s="519" t="s">
        <v>339</v>
      </c>
      <c r="AI3" s="509" t="s">
        <v>245</v>
      </c>
      <c r="AJ3" s="175" t="s">
        <v>4</v>
      </c>
      <c r="AK3" s="176" t="s">
        <v>121</v>
      </c>
      <c r="AL3" s="43" t="s">
        <v>2</v>
      </c>
      <c r="AM3" s="499" t="s">
        <v>122</v>
      </c>
      <c r="AN3" s="491"/>
      <c r="AO3" s="491"/>
      <c r="AP3" s="491"/>
      <c r="AQ3" s="491"/>
      <c r="AR3" s="491"/>
      <c r="AS3" s="491"/>
      <c r="AT3" s="491"/>
      <c r="AU3" s="491"/>
      <c r="AV3" s="491"/>
      <c r="AW3" s="491"/>
      <c r="AX3" s="491"/>
      <c r="AY3" s="491"/>
      <c r="AZ3" s="491"/>
      <c r="BA3" s="491"/>
      <c r="BB3" s="491"/>
      <c r="BC3" s="491"/>
      <c r="BD3" s="491"/>
      <c r="BE3" s="491"/>
      <c r="BF3" s="491"/>
      <c r="BG3" s="491"/>
      <c r="BH3" s="491"/>
      <c r="BI3" s="491"/>
      <c r="BJ3" s="491"/>
      <c r="BK3" s="491"/>
      <c r="BL3" s="491"/>
      <c r="BM3" s="491"/>
      <c r="BN3" s="491"/>
      <c r="BO3" s="491"/>
      <c r="BP3" s="491"/>
      <c r="BQ3" s="491"/>
      <c r="BR3" s="491"/>
      <c r="BS3" s="491"/>
      <c r="BT3" s="491"/>
      <c r="BU3" s="491"/>
      <c r="BV3" s="491"/>
      <c r="BW3" s="491"/>
      <c r="BX3" s="491"/>
      <c r="BY3" s="491"/>
      <c r="BZ3" s="491"/>
      <c r="CA3" s="491"/>
      <c r="CB3" s="491"/>
      <c r="CC3" s="491"/>
      <c r="CD3" s="491"/>
      <c r="CE3" s="491"/>
      <c r="CF3" s="491"/>
      <c r="CG3" s="491"/>
      <c r="CH3" s="491"/>
      <c r="CI3" s="491"/>
      <c r="CJ3" s="491"/>
      <c r="CK3" s="491"/>
      <c r="CL3" s="491"/>
      <c r="CM3" s="491"/>
      <c r="CN3" s="491"/>
      <c r="CO3" s="491"/>
      <c r="CP3" s="491"/>
      <c r="CQ3" s="491"/>
      <c r="CR3" s="491"/>
      <c r="CS3" s="491"/>
      <c r="CT3" s="500"/>
      <c r="CU3" s="480" t="s">
        <v>248</v>
      </c>
      <c r="CV3" s="482" t="s">
        <v>248</v>
      </c>
      <c r="CW3" s="482" t="s">
        <v>248</v>
      </c>
      <c r="CX3" s="484" t="s">
        <v>248</v>
      </c>
      <c r="CY3" s="488" t="s">
        <v>254</v>
      </c>
      <c r="CZ3" s="486" t="s">
        <v>254</v>
      </c>
      <c r="DA3" s="486" t="s">
        <v>254</v>
      </c>
      <c r="DB3" s="478" t="s">
        <v>254</v>
      </c>
      <c r="DC3" s="88"/>
    </row>
    <row r="4" spans="1:110" s="16" customFormat="1" x14ac:dyDescent="0.25">
      <c r="A4" s="15"/>
      <c r="B4" s="14"/>
      <c r="C4" s="79" t="s">
        <v>308</v>
      </c>
      <c r="D4" s="76" t="s">
        <v>119</v>
      </c>
      <c r="E4" s="359" t="s">
        <v>110</v>
      </c>
      <c r="F4" s="359" t="s">
        <v>110</v>
      </c>
      <c r="G4" s="346" t="s">
        <v>110</v>
      </c>
      <c r="H4" s="346" t="s">
        <v>110</v>
      </c>
      <c r="I4" s="513"/>
      <c r="J4" s="516"/>
      <c r="K4" s="518"/>
      <c r="L4" s="526"/>
      <c r="M4" s="528" t="s">
        <v>313</v>
      </c>
      <c r="N4" s="529"/>
      <c r="O4" s="529"/>
      <c r="P4" s="530"/>
      <c r="Q4" s="493" t="s">
        <v>314</v>
      </c>
      <c r="R4" s="494"/>
      <c r="S4" s="494"/>
      <c r="T4" s="495"/>
      <c r="U4" s="493" t="s">
        <v>315</v>
      </c>
      <c r="V4" s="494"/>
      <c r="W4" s="494"/>
      <c r="X4" s="495"/>
      <c r="Y4" s="493" t="s">
        <v>316</v>
      </c>
      <c r="Z4" s="494"/>
      <c r="AA4" s="494"/>
      <c r="AB4" s="495"/>
      <c r="AC4" s="531" t="s">
        <v>317</v>
      </c>
      <c r="AD4" s="532"/>
      <c r="AE4" s="532"/>
      <c r="AF4" s="533"/>
      <c r="AG4" s="523"/>
      <c r="AH4" s="520"/>
      <c r="AI4" s="510"/>
      <c r="AJ4" s="177" t="s">
        <v>115</v>
      </c>
      <c r="AK4" s="178" t="s">
        <v>3</v>
      </c>
      <c r="AL4" s="13" t="s">
        <v>3</v>
      </c>
      <c r="AM4" s="496" t="s">
        <v>327</v>
      </c>
      <c r="AN4" s="497"/>
      <c r="AO4" s="497"/>
      <c r="AP4" s="497"/>
      <c r="AQ4" s="498"/>
      <c r="AR4" s="496" t="s">
        <v>328</v>
      </c>
      <c r="AS4" s="497"/>
      <c r="AT4" s="497"/>
      <c r="AU4" s="497"/>
      <c r="AV4" s="498"/>
      <c r="AW4" s="496" t="s">
        <v>329</v>
      </c>
      <c r="AX4" s="497"/>
      <c r="AY4" s="497"/>
      <c r="AZ4" s="497"/>
      <c r="BA4" s="498"/>
      <c r="BB4" s="496" t="s">
        <v>330</v>
      </c>
      <c r="BC4" s="497"/>
      <c r="BD4" s="497"/>
      <c r="BE4" s="497"/>
      <c r="BF4" s="498"/>
      <c r="BG4" s="496" t="s">
        <v>331</v>
      </c>
      <c r="BH4" s="497"/>
      <c r="BI4" s="497"/>
      <c r="BJ4" s="497"/>
      <c r="BK4" s="498"/>
      <c r="BL4" s="496" t="s">
        <v>332</v>
      </c>
      <c r="BM4" s="497"/>
      <c r="BN4" s="497"/>
      <c r="BO4" s="497"/>
      <c r="BP4" s="498"/>
      <c r="BQ4" s="501" t="s">
        <v>333</v>
      </c>
      <c r="BR4" s="502"/>
      <c r="BS4" s="502"/>
      <c r="BT4" s="502"/>
      <c r="BU4" s="503"/>
      <c r="BV4" s="496" t="s">
        <v>334</v>
      </c>
      <c r="BW4" s="497"/>
      <c r="BX4" s="497"/>
      <c r="BY4" s="497"/>
      <c r="BZ4" s="498"/>
      <c r="CA4" s="496" t="s">
        <v>335</v>
      </c>
      <c r="CB4" s="497"/>
      <c r="CC4" s="497"/>
      <c r="CD4" s="497"/>
      <c r="CE4" s="498"/>
      <c r="CF4" s="496" t="s">
        <v>336</v>
      </c>
      <c r="CG4" s="497"/>
      <c r="CH4" s="497"/>
      <c r="CI4" s="497"/>
      <c r="CJ4" s="498"/>
      <c r="CK4" s="496" t="s">
        <v>337</v>
      </c>
      <c r="CL4" s="497"/>
      <c r="CM4" s="497"/>
      <c r="CN4" s="497"/>
      <c r="CO4" s="497"/>
      <c r="CP4" s="504" t="s">
        <v>338</v>
      </c>
      <c r="CQ4" s="504"/>
      <c r="CR4" s="504"/>
      <c r="CS4" s="504"/>
      <c r="CT4" s="505"/>
      <c r="CU4" s="481"/>
      <c r="CV4" s="483"/>
      <c r="CW4" s="483"/>
      <c r="CX4" s="485"/>
      <c r="CY4" s="489"/>
      <c r="CZ4" s="487"/>
      <c r="DA4" s="487"/>
      <c r="DB4" s="479"/>
      <c r="DC4" s="88"/>
    </row>
    <row r="5" spans="1:110" s="16" customFormat="1" ht="45.75" thickBot="1" x14ac:dyDescent="0.3">
      <c r="A5" s="44" t="s">
        <v>7</v>
      </c>
      <c r="B5" s="45" t="s">
        <v>8</v>
      </c>
      <c r="C5" s="81" t="s">
        <v>111</v>
      </c>
      <c r="D5" s="445">
        <v>45473</v>
      </c>
      <c r="E5" s="360" t="s">
        <v>309</v>
      </c>
      <c r="F5" s="360" t="s">
        <v>310</v>
      </c>
      <c r="G5" s="345" t="s">
        <v>311</v>
      </c>
      <c r="H5" s="345" t="s">
        <v>312</v>
      </c>
      <c r="I5" s="514"/>
      <c r="J5" s="517"/>
      <c r="K5" s="514"/>
      <c r="L5" s="527"/>
      <c r="M5" s="244" t="s">
        <v>108</v>
      </c>
      <c r="N5" s="245" t="s">
        <v>106</v>
      </c>
      <c r="O5" s="53" t="s">
        <v>105</v>
      </c>
      <c r="P5" s="254" t="s">
        <v>265</v>
      </c>
      <c r="Q5" s="244" t="s">
        <v>108</v>
      </c>
      <c r="R5" s="245" t="s">
        <v>106</v>
      </c>
      <c r="S5" s="53" t="s">
        <v>105</v>
      </c>
      <c r="T5" s="254" t="s">
        <v>265</v>
      </c>
      <c r="U5" s="244" t="s">
        <v>108</v>
      </c>
      <c r="V5" s="245" t="s">
        <v>106</v>
      </c>
      <c r="W5" s="53" t="s">
        <v>105</v>
      </c>
      <c r="X5" s="254" t="s">
        <v>265</v>
      </c>
      <c r="Y5" s="244" t="s">
        <v>108</v>
      </c>
      <c r="Z5" s="245" t="s">
        <v>106</v>
      </c>
      <c r="AA5" s="53" t="s">
        <v>105</v>
      </c>
      <c r="AB5" s="254" t="s">
        <v>265</v>
      </c>
      <c r="AC5" s="244" t="s">
        <v>108</v>
      </c>
      <c r="AD5" s="245" t="s">
        <v>106</v>
      </c>
      <c r="AE5" s="53" t="s">
        <v>105</v>
      </c>
      <c r="AF5" s="258" t="s">
        <v>265</v>
      </c>
      <c r="AG5" s="524"/>
      <c r="AH5" s="521"/>
      <c r="AI5" s="511"/>
      <c r="AJ5" s="179" t="s">
        <v>114</v>
      </c>
      <c r="AK5" s="180" t="s">
        <v>118</v>
      </c>
      <c r="AL5" s="47" t="s">
        <v>5</v>
      </c>
      <c r="AM5" s="48" t="s">
        <v>107</v>
      </c>
      <c r="AN5" s="46" t="s">
        <v>106</v>
      </c>
      <c r="AO5" s="125" t="s">
        <v>105</v>
      </c>
      <c r="AP5" s="261" t="s">
        <v>232</v>
      </c>
      <c r="AQ5" s="262" t="s">
        <v>233</v>
      </c>
      <c r="AR5" s="48" t="s">
        <v>107</v>
      </c>
      <c r="AS5" s="46" t="s">
        <v>106</v>
      </c>
      <c r="AT5" s="125" t="s">
        <v>105</v>
      </c>
      <c r="AU5" s="261" t="s">
        <v>232</v>
      </c>
      <c r="AV5" s="262" t="s">
        <v>233</v>
      </c>
      <c r="AW5" s="48" t="s">
        <v>107</v>
      </c>
      <c r="AX5" s="46" t="s">
        <v>106</v>
      </c>
      <c r="AY5" s="125" t="s">
        <v>105</v>
      </c>
      <c r="AZ5" s="261" t="s">
        <v>232</v>
      </c>
      <c r="BA5" s="262" t="s">
        <v>233</v>
      </c>
      <c r="BB5" s="48" t="s">
        <v>107</v>
      </c>
      <c r="BC5" s="46" t="s">
        <v>106</v>
      </c>
      <c r="BD5" s="49" t="s">
        <v>105</v>
      </c>
      <c r="BE5" s="261" t="s">
        <v>232</v>
      </c>
      <c r="BF5" s="262" t="s">
        <v>233</v>
      </c>
      <c r="BG5" s="48" t="s">
        <v>107</v>
      </c>
      <c r="BH5" s="46" t="s">
        <v>106</v>
      </c>
      <c r="BI5" s="49" t="s">
        <v>105</v>
      </c>
      <c r="BJ5" s="261" t="s">
        <v>232</v>
      </c>
      <c r="BK5" s="262" t="s">
        <v>233</v>
      </c>
      <c r="BL5" s="48" t="s">
        <v>107</v>
      </c>
      <c r="BM5" s="46" t="s">
        <v>106</v>
      </c>
      <c r="BN5" s="125" t="s">
        <v>105</v>
      </c>
      <c r="BO5" s="261" t="s">
        <v>232</v>
      </c>
      <c r="BP5" s="262" t="s">
        <v>233</v>
      </c>
      <c r="BQ5" s="70" t="s">
        <v>107</v>
      </c>
      <c r="BR5" s="71" t="s">
        <v>106</v>
      </c>
      <c r="BS5" s="259" t="s">
        <v>105</v>
      </c>
      <c r="BT5" s="261" t="s">
        <v>232</v>
      </c>
      <c r="BU5" s="262" t="s">
        <v>233</v>
      </c>
      <c r="BV5" s="48" t="s">
        <v>107</v>
      </c>
      <c r="BW5" s="46" t="s">
        <v>106</v>
      </c>
      <c r="BX5" s="125" t="s">
        <v>105</v>
      </c>
      <c r="BY5" s="261" t="s">
        <v>232</v>
      </c>
      <c r="BZ5" s="262" t="s">
        <v>233</v>
      </c>
      <c r="CA5" s="48" t="s">
        <v>107</v>
      </c>
      <c r="CB5" s="46" t="s">
        <v>106</v>
      </c>
      <c r="CC5" s="125" t="s">
        <v>105</v>
      </c>
      <c r="CD5" s="261" t="s">
        <v>232</v>
      </c>
      <c r="CE5" s="262" t="s">
        <v>233</v>
      </c>
      <c r="CF5" s="48" t="s">
        <v>107</v>
      </c>
      <c r="CG5" s="46" t="s">
        <v>106</v>
      </c>
      <c r="CH5" s="125" t="s">
        <v>105</v>
      </c>
      <c r="CI5" s="261" t="s">
        <v>232</v>
      </c>
      <c r="CJ5" s="262" t="s">
        <v>233</v>
      </c>
      <c r="CK5" s="48" t="s">
        <v>107</v>
      </c>
      <c r="CL5" s="46" t="s">
        <v>106</v>
      </c>
      <c r="CM5" s="125" t="s">
        <v>105</v>
      </c>
      <c r="CN5" s="261" t="s">
        <v>232</v>
      </c>
      <c r="CO5" s="126" t="s">
        <v>233</v>
      </c>
      <c r="CP5" s="127" t="s">
        <v>107</v>
      </c>
      <c r="CQ5" s="128" t="s">
        <v>106</v>
      </c>
      <c r="CR5" s="125" t="s">
        <v>105</v>
      </c>
      <c r="CS5" s="277" t="s">
        <v>232</v>
      </c>
      <c r="CT5" s="126" t="s">
        <v>233</v>
      </c>
      <c r="CU5" s="164" t="s">
        <v>249</v>
      </c>
      <c r="CV5" s="165" t="s">
        <v>250</v>
      </c>
      <c r="CW5" s="165" t="s">
        <v>251</v>
      </c>
      <c r="CX5" s="166" t="s">
        <v>252</v>
      </c>
      <c r="CY5" s="164" t="s">
        <v>249</v>
      </c>
      <c r="CZ5" s="165" t="s">
        <v>250</v>
      </c>
      <c r="DA5" s="165" t="s">
        <v>251</v>
      </c>
      <c r="DB5" s="166" t="s">
        <v>252</v>
      </c>
      <c r="DC5" s="88"/>
    </row>
    <row r="6" spans="1:110" ht="15.75" thickTop="1" x14ac:dyDescent="0.25">
      <c r="A6" s="5" t="s">
        <v>9</v>
      </c>
      <c r="B6" s="6">
        <v>1</v>
      </c>
      <c r="C6" s="456">
        <v>984461</v>
      </c>
      <c r="D6" s="83">
        <f>'Qrtrly Cash Balances'!C3</f>
        <v>68073.77</v>
      </c>
      <c r="E6" s="35">
        <f>RUTF!$D4</f>
        <v>299201.09000000003</v>
      </c>
      <c r="F6" s="401">
        <f>RUTF!$E4</f>
        <v>328184.09000000003</v>
      </c>
      <c r="G6" s="154">
        <f>RUTF!$F4</f>
        <v>0</v>
      </c>
      <c r="H6" s="154">
        <f>RUTF!$G4</f>
        <v>0</v>
      </c>
      <c r="I6" s="154">
        <f>Federal!$F3+Federal!$J3+Federal!$N3+Federal!$R3</f>
        <v>0</v>
      </c>
      <c r="J6" s="153">
        <f>'Co Contrib'!C3+'Co Contrib'!D3+'Co Contrib'!E3+'Co Contrib'!F3+'Other Rev'!E3+'Other Rev'!H3+'Other Rev'!K3+'Other Rev'!N3</f>
        <v>0</v>
      </c>
      <c r="K6" s="149">
        <f>-1*(Expenditures!H3+Expenditures!N3+Expenditures!T3+Expenditures!Z3)</f>
        <v>-306303.89</v>
      </c>
      <c r="L6" s="90">
        <f>'Qrtrly Obligations'!U2</f>
        <v>-310287.59000000003</v>
      </c>
      <c r="M6" s="246">
        <f>$AM6+$AR6+$AW6+$BB6+$BG6+$BL6+$BQ6+$BV6+$CA6+$CF6+$CK6+$CP6+$CU6+$CV6+$CW6+$CX6+$CY6+$CZ$6+$DA$6+$DB$6</f>
        <v>214281.88</v>
      </c>
      <c r="N6" s="247">
        <f>$AN6+$AS6+$AX6+$BC6+$BH6+$BM6+$BR6+$BW6+$CB6+$CG6+$CL6+$CQ6</f>
        <v>0</v>
      </c>
      <c r="O6" s="54">
        <f>$AO6+$AT6+$AY6+$BD6+$BI6+$BN6+$BS6+$BX6+$CC6+$CH6+$CM6+$CR6+$CU6+$CV6+$CW6+$CX6+$CY6+$CZ$6+$DA$6+$DB$6</f>
        <v>214281.88</v>
      </c>
      <c r="P6" s="255">
        <f>$AP6+$AQ6+$AU6+$AV6+$AZ6+$BA6+$BE6+$BF6+$BJ6+$BK6+$BO6+$BP6+$BT6+$BU6+$BY6+$BZ6+$CD6+$CE6+$CI6+$CJ6+$CN6+$CO6+$CS6+$CT6</f>
        <v>0</v>
      </c>
      <c r="Q6" s="246">
        <f>$AM6+$AR6+$AW6+$CU6+$CY6</f>
        <v>214281.88</v>
      </c>
      <c r="R6" s="247">
        <f>$AN6+$AS6+$AX6</f>
        <v>0</v>
      </c>
      <c r="S6" s="54">
        <f>$AO6+$AT6+$AY6+$CU6+$CY6</f>
        <v>214281.88</v>
      </c>
      <c r="T6" s="255">
        <f>AP6+AQ6+AU6+AV6+AZ6+BA6</f>
        <v>0</v>
      </c>
      <c r="U6" s="246">
        <f>$BB6+$BG6+$BL6+$CV6+$CZ6</f>
        <v>0</v>
      </c>
      <c r="V6" s="247">
        <f>$BC6+$BH6+$BM6</f>
        <v>0</v>
      </c>
      <c r="W6" s="54">
        <f>$BD6+$BI6+$BN6+$CV6+$CZ6</f>
        <v>0</v>
      </c>
      <c r="X6" s="255">
        <f>BE6+BF6+BJ6+BK6+BO6+BP6</f>
        <v>0</v>
      </c>
      <c r="Y6" s="246">
        <f>$BQ6+$BV6+$CA6+$CW6+$DA6</f>
        <v>0</v>
      </c>
      <c r="Z6" s="247">
        <f>$BR6+$BW6+$CB6</f>
        <v>0</v>
      </c>
      <c r="AA6" s="54">
        <f>$BS6+$BX6+$CC6+$CW6+$DA6</f>
        <v>0</v>
      </c>
      <c r="AB6" s="255">
        <f>BT6+BU6+BY6+BZ6+CD6+CE6</f>
        <v>0</v>
      </c>
      <c r="AC6" s="246">
        <f>$CF6+$CK6+$CP6+$CX6+$DB6</f>
        <v>0</v>
      </c>
      <c r="AD6" s="247">
        <f>$CG6+$CL6+$CQ6</f>
        <v>0</v>
      </c>
      <c r="AE6" s="54">
        <f>$CH6+$CM6+$CR6+$CX6+$DB6</f>
        <v>0</v>
      </c>
      <c r="AF6" s="255">
        <f>CI6+CJ6+CN6+CO6+CS6+CT6</f>
        <v>0</v>
      </c>
      <c r="AG6" s="143">
        <f>SUM(D6:J6)+K6</f>
        <v>389155.06000000006</v>
      </c>
      <c r="AH6" s="145">
        <f>SUM(D6:J6)+K6+L6</f>
        <v>78867.47000000003</v>
      </c>
      <c r="AI6" s="181">
        <f>SUM(D6:J6)+K6+L6-Z6-AA6-AB6</f>
        <v>78867.47000000003</v>
      </c>
      <c r="AJ6" s="182">
        <f t="shared" ref="AJ6:AJ37" si="0">AI6/C6</f>
        <v>8.0112335582618335E-2</v>
      </c>
      <c r="AK6" s="183">
        <f t="shared" ref="AK6:AK37" si="1">(C6*3)+AI6</f>
        <v>3032250.47</v>
      </c>
      <c r="AL6" s="7">
        <f t="shared" ref="AL6:AL37" si="2">(C6*5)+AI6</f>
        <v>5001172.47</v>
      </c>
      <c r="AM6" s="34">
        <v>29591.88</v>
      </c>
      <c r="AN6" s="24"/>
      <c r="AO6" s="99">
        <v>29591.88</v>
      </c>
      <c r="AP6" s="265"/>
      <c r="AQ6" s="278"/>
      <c r="AR6" s="23">
        <v>184690</v>
      </c>
      <c r="AS6" s="24"/>
      <c r="AT6" s="104">
        <v>184690</v>
      </c>
      <c r="AU6" s="265"/>
      <c r="AV6" s="278"/>
      <c r="AW6" s="23"/>
      <c r="AX6" s="24"/>
      <c r="AY6" s="104"/>
      <c r="AZ6" s="265"/>
      <c r="BA6" s="278"/>
      <c r="BB6" s="23"/>
      <c r="BC6" s="24"/>
      <c r="BD6" s="25"/>
      <c r="BE6" s="265"/>
      <c r="BF6" s="278"/>
      <c r="BG6" s="23"/>
      <c r="BH6" s="24"/>
      <c r="BI6" s="25"/>
      <c r="BJ6" s="265"/>
      <c r="BK6" s="278"/>
      <c r="BL6" s="23"/>
      <c r="BM6" s="93"/>
      <c r="BN6" s="104"/>
      <c r="BO6" s="265"/>
      <c r="BP6" s="278"/>
      <c r="BQ6" s="34"/>
      <c r="BR6" s="35"/>
      <c r="BS6" s="99"/>
      <c r="BT6" s="263"/>
      <c r="BU6" s="278"/>
      <c r="BV6" s="34"/>
      <c r="BW6" s="100"/>
      <c r="BX6" s="270"/>
      <c r="BY6" s="263"/>
      <c r="BZ6" s="278"/>
      <c r="CA6" s="34"/>
      <c r="CB6" s="24"/>
      <c r="CC6" s="99"/>
      <c r="CD6" s="276"/>
      <c r="CE6" s="362"/>
      <c r="CF6" s="23"/>
      <c r="CG6" s="24"/>
      <c r="CH6" s="104"/>
      <c r="CI6" s="276"/>
      <c r="CJ6" s="362"/>
      <c r="CK6" s="34"/>
      <c r="CL6" s="24"/>
      <c r="CM6" s="99"/>
      <c r="CN6" s="276"/>
      <c r="CO6" s="362"/>
      <c r="CP6" s="23"/>
      <c r="CQ6" s="171"/>
      <c r="CR6" s="104"/>
      <c r="CS6" s="363"/>
      <c r="CT6" s="362"/>
      <c r="CU6" s="430"/>
      <c r="CV6" s="431"/>
      <c r="CW6" s="431"/>
      <c r="CX6" s="432"/>
      <c r="CY6" s="23"/>
      <c r="CZ6" s="171"/>
      <c r="DA6" s="171"/>
      <c r="DB6" s="172"/>
      <c r="DC6" s="433"/>
      <c r="DD6" s="65"/>
      <c r="DE6" s="65"/>
      <c r="DF6" s="434"/>
    </row>
    <row r="7" spans="1:110" ht="15" customHeight="1" x14ac:dyDescent="0.25">
      <c r="A7" s="5" t="s">
        <v>10</v>
      </c>
      <c r="B7" s="6">
        <v>2</v>
      </c>
      <c r="C7" s="456">
        <v>758690</v>
      </c>
      <c r="D7" s="83">
        <f>'Qrtrly Cash Balances'!C4</f>
        <v>170076.38</v>
      </c>
      <c r="E7" s="35">
        <f>RUTF!$D5</f>
        <v>230583.81</v>
      </c>
      <c r="F7" s="401">
        <f>RUTF!$E5</f>
        <v>252920</v>
      </c>
      <c r="G7" s="406">
        <f>RUTF!$F5</f>
        <v>0</v>
      </c>
      <c r="H7" s="155">
        <f>RUTF!$G5</f>
        <v>0</v>
      </c>
      <c r="I7" s="156">
        <f>Federal!$F4+Federal!$J4+Federal!$N4+Federal!$R4</f>
        <v>0</v>
      </c>
      <c r="J7" s="155">
        <f>'Co Contrib'!C4+'Co Contrib'!D4+'Co Contrib'!E4+'Co Contrib'!F4+'Other Rev'!E4+'Other Rev'!H4+'Other Rev'!K4+'Other Rev'!N4</f>
        <v>1969</v>
      </c>
      <c r="K7" s="149">
        <f>-1*(Expenditures!H4+Expenditures!N4+Expenditures!T4+Expenditures!Z4)</f>
        <v>-24151.75</v>
      </c>
      <c r="L7" s="74">
        <f>'Qrtrly Obligations'!U3</f>
        <v>-413497.18</v>
      </c>
      <c r="M7" s="246">
        <f t="shared" ref="M7:M70" si="3">$AM7+$AR7+$AW7+$BB7+$BG7+$BL7+$BQ7+$BV7+$CA7+$CF7+$CK7+$CP7+$CU7+$CV7+$CW7+$CX7+$CY7+$CZ$6+$DA$6+$DB$6</f>
        <v>0</v>
      </c>
      <c r="N7" s="248">
        <f t="shared" ref="N7:N70" si="4">$AN7+$AS7+$AX7+$BC7+$BH7+$BM7+$BR7+$BW7+$CB7+$CG7+$CL7+$CQ7</f>
        <v>0</v>
      </c>
      <c r="O7" s="54">
        <f t="shared" ref="O7:O70" si="5">$AO7+$AT7+$AY7+$BD7+$BI7+$BN7+$BS7+$BX7+$CC7+$CH7+$CM7+$CR7+$CU7+$CV7+$CW7+$CX7+$CY7+$CZ$6+$DA$6+$DB$6</f>
        <v>0</v>
      </c>
      <c r="P7" s="255">
        <f t="shared" ref="P7:P70" si="6">$AP7+$AQ7+$AU7+$AV7+$AZ7+$BA7+$BE7+$BF7+$BJ7+$BK7+$BO7+$BP7+$BT7+$BU7+$BY7+$BZ7+$CD7+$CE7+$CI7+$CJ7+$CN7+$CO7+$CS7+$CT7</f>
        <v>0</v>
      </c>
      <c r="Q7" s="246">
        <f t="shared" ref="Q7:Q70" si="7">$AM7+$AR7+$AW7+$CU7+$CY7</f>
        <v>0</v>
      </c>
      <c r="R7" s="248">
        <f t="shared" ref="R7:R70" si="8">$AN7+$AS7+$AX7</f>
        <v>0</v>
      </c>
      <c r="S7" s="54">
        <f t="shared" ref="S7:S70" si="9">$AO7+$AT7+$AY7+$CU7+$CY7</f>
        <v>0</v>
      </c>
      <c r="T7" s="255">
        <f t="shared" ref="T7:T70" si="10">AP7+AQ7+AU7+AV7+AZ7+BA7</f>
        <v>0</v>
      </c>
      <c r="U7" s="246">
        <f t="shared" ref="U7:U70" si="11">$BB7+$BG7+$BL7+$CV7+$CZ7</f>
        <v>0</v>
      </c>
      <c r="V7" s="248">
        <f t="shared" ref="V7:V70" si="12">$BC7+$BH7+$BM7</f>
        <v>0</v>
      </c>
      <c r="W7" s="54">
        <f t="shared" ref="W7:W70" si="13">$BD7+$BI7+$BN7+$CV7+$CZ7</f>
        <v>0</v>
      </c>
      <c r="X7" s="255">
        <f t="shared" ref="X7:X70" si="14">BE7+BF7+BJ7+BK7+BO7+BP7</f>
        <v>0</v>
      </c>
      <c r="Y7" s="246">
        <f t="shared" ref="Y7:Y70" si="15">$BQ7+$BV7+$CA7+$CW7+$DA7</f>
        <v>0</v>
      </c>
      <c r="Z7" s="248">
        <f t="shared" ref="Z7:Z70" si="16">$BR7+$BW7+$CB7</f>
        <v>0</v>
      </c>
      <c r="AA7" s="54">
        <f t="shared" ref="AA7:AA70" si="17">$BS7+$BX7+$CC7+$CW7+$DA7</f>
        <v>0</v>
      </c>
      <c r="AB7" s="255">
        <f t="shared" ref="AB7:AB70" si="18">BT7+BU7+BY7+BZ7+CD7+CE7</f>
        <v>0</v>
      </c>
      <c r="AC7" s="246">
        <f t="shared" ref="AC7:AC70" si="19">$CF7+$CK7+$CP7+$CX7+$DB7</f>
        <v>0</v>
      </c>
      <c r="AD7" s="248">
        <f t="shared" ref="AD7:AD70" si="20">$CG7+$CL7+$CQ7</f>
        <v>0</v>
      </c>
      <c r="AE7" s="54">
        <f t="shared" ref="AE7:AE70" si="21">$CH7+$CM7+$CR7+$CX7+$DB7</f>
        <v>0</v>
      </c>
      <c r="AF7" s="255">
        <f t="shared" ref="AF7:AF70" si="22">CI7+CJ7+CN7+CO7+CS7+CT7</f>
        <v>0</v>
      </c>
      <c r="AG7" s="83">
        <f t="shared" ref="AG7:AG70" si="23">SUM(D7:J7)+K7</f>
        <v>631397.43999999994</v>
      </c>
      <c r="AH7" s="146">
        <f t="shared" ref="AH7:AH70" si="24">SUM(D7:J7)+K7+L7</f>
        <v>217900.25999999995</v>
      </c>
      <c r="AI7" s="181">
        <f t="shared" ref="AI7:AI70" si="25">SUM(D7:J7)+K7+L7-Z7-AA7-AB7</f>
        <v>217900.25999999995</v>
      </c>
      <c r="AJ7" s="182">
        <f t="shared" si="0"/>
        <v>0.28720592073178763</v>
      </c>
      <c r="AK7" s="183">
        <f t="shared" si="1"/>
        <v>2493970.2599999998</v>
      </c>
      <c r="AL7" s="7">
        <f t="shared" si="2"/>
        <v>4011350.26</v>
      </c>
      <c r="AM7" s="34"/>
      <c r="AN7" s="24"/>
      <c r="AO7" s="99"/>
      <c r="AP7" s="265"/>
      <c r="AQ7" s="278"/>
      <c r="AR7" s="23"/>
      <c r="AS7" s="24"/>
      <c r="AT7" s="104"/>
      <c r="AU7" s="265"/>
      <c r="AV7" s="278"/>
      <c r="AW7" s="23"/>
      <c r="AX7" s="24"/>
      <c r="AY7" s="104"/>
      <c r="AZ7" s="265"/>
      <c r="BA7" s="278"/>
      <c r="BB7" s="23"/>
      <c r="BC7" s="24"/>
      <c r="BD7" s="25"/>
      <c r="BE7" s="265"/>
      <c r="BF7" s="278"/>
      <c r="BG7" s="23"/>
      <c r="BH7" s="24"/>
      <c r="BI7" s="25"/>
      <c r="BJ7" s="265"/>
      <c r="BK7" s="278"/>
      <c r="BL7" s="34"/>
      <c r="BM7" s="94"/>
      <c r="BN7" s="104"/>
      <c r="BO7" s="265"/>
      <c r="BP7" s="278"/>
      <c r="BQ7" s="34"/>
      <c r="BR7" s="35"/>
      <c r="BS7" s="99"/>
      <c r="BT7" s="263"/>
      <c r="BU7" s="278"/>
      <c r="BV7" s="23"/>
      <c r="BW7" s="24"/>
      <c r="BX7" s="104"/>
      <c r="BY7" s="263"/>
      <c r="BZ7" s="278"/>
      <c r="CA7" s="34"/>
      <c r="CB7" s="68"/>
      <c r="CC7" s="104"/>
      <c r="CD7" s="265"/>
      <c r="CE7" s="278"/>
      <c r="CF7" s="23"/>
      <c r="CG7" s="24"/>
      <c r="CH7" s="104"/>
      <c r="CI7" s="265"/>
      <c r="CJ7" s="278"/>
      <c r="CK7" s="23"/>
      <c r="CL7" s="24"/>
      <c r="CM7" s="104"/>
      <c r="CN7" s="265"/>
      <c r="CO7" s="278"/>
      <c r="CP7" s="23"/>
      <c r="CQ7" s="171"/>
      <c r="CR7" s="104"/>
      <c r="CS7" s="263"/>
      <c r="CT7" s="278"/>
      <c r="CU7" s="430"/>
      <c r="CV7" s="431"/>
      <c r="CW7" s="431"/>
      <c r="CX7" s="432"/>
      <c r="CY7" s="23"/>
      <c r="CZ7" s="171"/>
      <c r="DA7" s="171"/>
      <c r="DB7" s="172"/>
      <c r="DC7" s="433"/>
      <c r="DD7" s="65"/>
      <c r="DE7" s="65"/>
      <c r="DF7" s="434"/>
    </row>
    <row r="8" spans="1:110" s="32" customFormat="1" x14ac:dyDescent="0.25">
      <c r="A8" s="5" t="s">
        <v>11</v>
      </c>
      <c r="B8" s="6">
        <v>3</v>
      </c>
      <c r="C8" s="456">
        <v>1276510</v>
      </c>
      <c r="D8" s="83">
        <f>'Qrtrly Cash Balances'!C5</f>
        <v>2619396.5699999998</v>
      </c>
      <c r="E8" s="35">
        <f>RUTF!$D6</f>
        <v>387961.72</v>
      </c>
      <c r="F8" s="401">
        <f>RUTF!$E6</f>
        <v>425542.78</v>
      </c>
      <c r="G8" s="407">
        <f>RUTF!$F6</f>
        <v>0</v>
      </c>
      <c r="H8" s="157">
        <f>RUTF!$G6</f>
        <v>0</v>
      </c>
      <c r="I8" s="158">
        <f>Federal!$F5+Federal!$J5+Federal!$N5+Federal!$R5</f>
        <v>0</v>
      </c>
      <c r="J8" s="157">
        <f>'Co Contrib'!C5+'Co Contrib'!D5+'Co Contrib'!E5+'Co Contrib'!F5+'Other Rev'!E5+'Other Rev'!H5+'Other Rev'!K5+'Other Rev'!N5</f>
        <v>0</v>
      </c>
      <c r="K8" s="150">
        <f>-1*(Expenditures!H5+Expenditures!N5+Expenditures!T5+Expenditures!Z5)</f>
        <v>-29315.599999999999</v>
      </c>
      <c r="L8" s="74">
        <f>'Qrtrly Obligations'!U4</f>
        <v>0</v>
      </c>
      <c r="M8" s="246">
        <f t="shared" si="3"/>
        <v>0</v>
      </c>
      <c r="N8" s="248">
        <f t="shared" si="4"/>
        <v>0</v>
      </c>
      <c r="O8" s="54">
        <f t="shared" si="5"/>
        <v>0</v>
      </c>
      <c r="P8" s="255">
        <f t="shared" si="6"/>
        <v>0</v>
      </c>
      <c r="Q8" s="246">
        <f t="shared" si="7"/>
        <v>0</v>
      </c>
      <c r="R8" s="248">
        <f t="shared" si="8"/>
        <v>0</v>
      </c>
      <c r="S8" s="54">
        <f t="shared" si="9"/>
        <v>0</v>
      </c>
      <c r="T8" s="255">
        <f t="shared" si="10"/>
        <v>0</v>
      </c>
      <c r="U8" s="246">
        <f t="shared" si="11"/>
        <v>0</v>
      </c>
      <c r="V8" s="248">
        <f t="shared" si="12"/>
        <v>0</v>
      </c>
      <c r="W8" s="54">
        <f t="shared" si="13"/>
        <v>0</v>
      </c>
      <c r="X8" s="255">
        <f t="shared" si="14"/>
        <v>0</v>
      </c>
      <c r="Y8" s="246">
        <f t="shared" si="15"/>
        <v>0</v>
      </c>
      <c r="Z8" s="248">
        <f t="shared" si="16"/>
        <v>0</v>
      </c>
      <c r="AA8" s="54">
        <f t="shared" si="17"/>
        <v>0</v>
      </c>
      <c r="AB8" s="255">
        <f t="shared" si="18"/>
        <v>0</v>
      </c>
      <c r="AC8" s="246">
        <f t="shared" si="19"/>
        <v>0</v>
      </c>
      <c r="AD8" s="248">
        <f t="shared" si="20"/>
        <v>0</v>
      </c>
      <c r="AE8" s="54">
        <f t="shared" si="21"/>
        <v>0</v>
      </c>
      <c r="AF8" s="255">
        <f t="shared" si="22"/>
        <v>0</v>
      </c>
      <c r="AG8" s="83">
        <f t="shared" si="23"/>
        <v>3403585.47</v>
      </c>
      <c r="AH8" s="146">
        <f t="shared" si="24"/>
        <v>3403585.47</v>
      </c>
      <c r="AI8" s="181">
        <f t="shared" si="25"/>
        <v>3403585.47</v>
      </c>
      <c r="AJ8" s="182">
        <f t="shared" si="0"/>
        <v>2.6663210393964798</v>
      </c>
      <c r="AK8" s="183">
        <f t="shared" si="1"/>
        <v>7233115.4700000007</v>
      </c>
      <c r="AL8" s="7">
        <f t="shared" si="2"/>
        <v>9786135.4700000007</v>
      </c>
      <c r="AM8" s="34"/>
      <c r="AN8" s="24"/>
      <c r="AO8" s="99"/>
      <c r="AP8" s="265"/>
      <c r="AQ8" s="278"/>
      <c r="AR8" s="23"/>
      <c r="AS8" s="24"/>
      <c r="AT8" s="104"/>
      <c r="AU8" s="265"/>
      <c r="AV8" s="278"/>
      <c r="AW8" s="23"/>
      <c r="AX8" s="24"/>
      <c r="AY8" s="104"/>
      <c r="AZ8" s="265"/>
      <c r="BA8" s="278"/>
      <c r="BB8" s="23"/>
      <c r="BC8" s="24"/>
      <c r="BD8" s="25"/>
      <c r="BE8" s="265"/>
      <c r="BF8" s="278"/>
      <c r="BG8" s="34"/>
      <c r="BH8" s="35"/>
      <c r="BI8" s="25"/>
      <c r="BJ8" s="265"/>
      <c r="BK8" s="278"/>
      <c r="BL8" s="23"/>
      <c r="BM8" s="93"/>
      <c r="BN8" s="104"/>
      <c r="BO8" s="265"/>
      <c r="BP8" s="278"/>
      <c r="BQ8" s="34"/>
      <c r="BR8" s="35"/>
      <c r="BS8" s="99"/>
      <c r="BT8" s="263"/>
      <c r="BU8" s="278"/>
      <c r="BV8" s="34"/>
      <c r="BW8" s="35"/>
      <c r="BX8" s="104"/>
      <c r="BY8" s="263"/>
      <c r="BZ8" s="278"/>
      <c r="CA8" s="34"/>
      <c r="CB8" s="24"/>
      <c r="CC8" s="99"/>
      <c r="CD8" s="265"/>
      <c r="CE8" s="278"/>
      <c r="CF8" s="34"/>
      <c r="CG8" s="35"/>
      <c r="CH8" s="104"/>
      <c r="CI8" s="265"/>
      <c r="CJ8" s="278"/>
      <c r="CK8" s="34"/>
      <c r="CL8" s="24"/>
      <c r="CM8" s="99"/>
      <c r="CN8" s="265"/>
      <c r="CO8" s="278"/>
      <c r="CP8" s="34"/>
      <c r="CQ8" s="171"/>
      <c r="CR8" s="99"/>
      <c r="CS8" s="263"/>
      <c r="CT8" s="278"/>
      <c r="CU8" s="430"/>
      <c r="CV8" s="431"/>
      <c r="CW8" s="431"/>
      <c r="CX8" s="432"/>
      <c r="CY8" s="23"/>
      <c r="CZ8" s="171"/>
      <c r="DA8" s="171"/>
      <c r="DB8" s="172"/>
      <c r="DC8" s="433"/>
      <c r="DD8" s="435"/>
      <c r="DE8" s="435"/>
      <c r="DF8" s="436"/>
    </row>
    <row r="9" spans="1:110" ht="14.45" customHeight="1" x14ac:dyDescent="0.25">
      <c r="A9" s="5" t="s">
        <v>12</v>
      </c>
      <c r="B9" s="6">
        <v>4</v>
      </c>
      <c r="C9" s="456">
        <v>1028424</v>
      </c>
      <c r="D9" s="83">
        <f>'Qrtrly Cash Balances'!C6</f>
        <v>-774844.68</v>
      </c>
      <c r="E9" s="35">
        <f>RUTF!$D7</f>
        <v>312562.65000000002</v>
      </c>
      <c r="F9" s="401">
        <f>RUTF!$E7</f>
        <v>342839.95</v>
      </c>
      <c r="G9" s="406">
        <f>RUTF!$F7</f>
        <v>0</v>
      </c>
      <c r="H9" s="155">
        <f>RUTF!$G7</f>
        <v>0</v>
      </c>
      <c r="I9" s="156">
        <f>Federal!$F6+Federal!$J6+Federal!$N6+Federal!$R6</f>
        <v>0</v>
      </c>
      <c r="J9" s="155">
        <f>'Co Contrib'!C6+'Co Contrib'!D6+'Co Contrib'!E6+'Co Contrib'!F6+'Other Rev'!E6+'Other Rev'!H6+'Other Rev'!K6+'Other Rev'!N6</f>
        <v>0</v>
      </c>
      <c r="K9" s="149">
        <f>-1*(Expenditures!H6+Expenditures!N6+Expenditures!T6+Expenditures!Z6)</f>
        <v>-897826.70000000007</v>
      </c>
      <c r="L9" s="74">
        <f>'Qrtrly Obligations'!U5</f>
        <v>-1351191.29</v>
      </c>
      <c r="M9" s="246">
        <f t="shared" si="3"/>
        <v>0</v>
      </c>
      <c r="N9" s="248">
        <f t="shared" si="4"/>
        <v>0</v>
      </c>
      <c r="O9" s="54">
        <f t="shared" si="5"/>
        <v>0</v>
      </c>
      <c r="P9" s="255">
        <f t="shared" si="6"/>
        <v>1315057.3999999999</v>
      </c>
      <c r="Q9" s="246">
        <f t="shared" si="7"/>
        <v>0</v>
      </c>
      <c r="R9" s="248">
        <f t="shared" si="8"/>
        <v>0</v>
      </c>
      <c r="S9" s="54">
        <f t="shared" si="9"/>
        <v>0</v>
      </c>
      <c r="T9" s="255">
        <f t="shared" si="10"/>
        <v>0</v>
      </c>
      <c r="U9" s="246">
        <f t="shared" si="11"/>
        <v>0</v>
      </c>
      <c r="V9" s="248">
        <f t="shared" si="12"/>
        <v>0</v>
      </c>
      <c r="W9" s="54">
        <f t="shared" si="13"/>
        <v>0</v>
      </c>
      <c r="X9" s="255">
        <f t="shared" si="14"/>
        <v>1315057.3999999999</v>
      </c>
      <c r="Y9" s="246">
        <f t="shared" si="15"/>
        <v>0</v>
      </c>
      <c r="Z9" s="248">
        <f t="shared" si="16"/>
        <v>0</v>
      </c>
      <c r="AA9" s="54">
        <f t="shared" si="17"/>
        <v>0</v>
      </c>
      <c r="AB9" s="255">
        <f t="shared" si="18"/>
        <v>0</v>
      </c>
      <c r="AC9" s="246">
        <f t="shared" si="19"/>
        <v>0</v>
      </c>
      <c r="AD9" s="248">
        <f t="shared" si="20"/>
        <v>0</v>
      </c>
      <c r="AE9" s="54">
        <f t="shared" si="21"/>
        <v>0</v>
      </c>
      <c r="AF9" s="255">
        <f t="shared" si="22"/>
        <v>0</v>
      </c>
      <c r="AG9" s="83">
        <f t="shared" si="23"/>
        <v>-1017268.78</v>
      </c>
      <c r="AH9" s="146">
        <f t="shared" si="24"/>
        <v>-2368460.0700000003</v>
      </c>
      <c r="AI9" s="181">
        <f t="shared" si="25"/>
        <v>-2368460.0700000003</v>
      </c>
      <c r="AJ9" s="182">
        <f t="shared" si="0"/>
        <v>-2.3029996091106395</v>
      </c>
      <c r="AK9" s="183">
        <f t="shared" si="1"/>
        <v>716811.9299999997</v>
      </c>
      <c r="AL9" s="7">
        <f t="shared" si="2"/>
        <v>2773659.9299999997</v>
      </c>
      <c r="AM9" s="23"/>
      <c r="AN9" s="24"/>
      <c r="AO9" s="104"/>
      <c r="AP9" s="265"/>
      <c r="AQ9" s="364"/>
      <c r="AR9" s="34"/>
      <c r="AS9" s="24"/>
      <c r="AT9" s="99"/>
      <c r="AU9" s="265"/>
      <c r="AV9" s="364"/>
      <c r="AW9" s="23"/>
      <c r="AX9" s="24"/>
      <c r="AY9" s="104"/>
      <c r="AZ9" s="265"/>
      <c r="BA9" s="364"/>
      <c r="BB9" s="34"/>
      <c r="BC9" s="24"/>
      <c r="BD9" s="36"/>
      <c r="BE9" s="265"/>
      <c r="BF9" s="364"/>
      <c r="BG9" s="23"/>
      <c r="BH9" s="24"/>
      <c r="BI9" s="25"/>
      <c r="BJ9" s="265">
        <v>91318.25</v>
      </c>
      <c r="BK9" s="364"/>
      <c r="BL9" s="34"/>
      <c r="BM9" s="93"/>
      <c r="BN9" s="99"/>
      <c r="BO9" s="265"/>
      <c r="BP9" s="364">
        <v>1223739.1499999999</v>
      </c>
      <c r="BQ9" s="34"/>
      <c r="BR9" s="35"/>
      <c r="BS9" s="99"/>
      <c r="BT9" s="263"/>
      <c r="BU9" s="364"/>
      <c r="BV9" s="23"/>
      <c r="BW9" s="24"/>
      <c r="BX9" s="104"/>
      <c r="BY9" s="263"/>
      <c r="BZ9" s="364"/>
      <c r="CA9" s="23"/>
      <c r="CB9" s="35"/>
      <c r="CC9" s="104"/>
      <c r="CD9" s="265"/>
      <c r="CE9" s="364"/>
      <c r="CF9" s="34"/>
      <c r="CG9" s="35"/>
      <c r="CH9" s="104"/>
      <c r="CI9" s="265"/>
      <c r="CJ9" s="364"/>
      <c r="CK9" s="34"/>
      <c r="CL9" s="24"/>
      <c r="CM9" s="99"/>
      <c r="CN9" s="265"/>
      <c r="CO9" s="364"/>
      <c r="CP9" s="23"/>
      <c r="CQ9" s="171"/>
      <c r="CR9" s="104"/>
      <c r="CS9" s="263"/>
      <c r="CT9" s="364"/>
      <c r="CU9" s="430"/>
      <c r="CV9" s="431"/>
      <c r="CW9" s="431"/>
      <c r="CX9" s="432"/>
      <c r="CY9" s="23"/>
      <c r="CZ9" s="171"/>
      <c r="DA9" s="171"/>
      <c r="DB9" s="172"/>
      <c r="DC9" s="433"/>
      <c r="DD9" s="65"/>
      <c r="DE9" s="65"/>
      <c r="DF9" s="434"/>
    </row>
    <row r="10" spans="1:110" x14ac:dyDescent="0.25">
      <c r="A10" s="9" t="s">
        <v>13</v>
      </c>
      <c r="B10" s="17">
        <v>5</v>
      </c>
      <c r="C10" s="457">
        <v>862323</v>
      </c>
      <c r="D10" s="84">
        <f>'Qrtrly Cash Balances'!C7</f>
        <v>-1381159.07</v>
      </c>
      <c r="E10" s="33">
        <f>RUTF!$D8</f>
        <v>262080.54</v>
      </c>
      <c r="F10" s="402">
        <f>RUTF!$E8</f>
        <v>287467.75</v>
      </c>
      <c r="G10" s="160">
        <f>RUTF!$F8</f>
        <v>0</v>
      </c>
      <c r="H10" s="159">
        <f>RUTF!$G8</f>
        <v>0</v>
      </c>
      <c r="I10" s="160">
        <f>Federal!$F7+Federal!$J7+Federal!$N7+Federal!$R7</f>
        <v>0</v>
      </c>
      <c r="J10" s="159">
        <f>'Co Contrib'!C7+'Co Contrib'!D7+'Co Contrib'!E7+'Co Contrib'!F7+'Other Rev'!E7+'Other Rev'!H7+'Other Rev'!K7+'Other Rev'!N7</f>
        <v>0</v>
      </c>
      <c r="K10" s="151">
        <f>-1*(Expenditures!H7+Expenditures!N7+Expenditures!T7+Expenditures!Z7)</f>
        <v>-69092.2</v>
      </c>
      <c r="L10" s="56">
        <f>'Qrtrly Obligations'!U6</f>
        <v>-155854.71</v>
      </c>
      <c r="M10" s="249">
        <f t="shared" si="3"/>
        <v>93952.7</v>
      </c>
      <c r="N10" s="250">
        <f t="shared" si="4"/>
        <v>0</v>
      </c>
      <c r="O10" s="253">
        <f t="shared" si="5"/>
        <v>93952.7</v>
      </c>
      <c r="P10" s="256">
        <f t="shared" si="6"/>
        <v>0</v>
      </c>
      <c r="Q10" s="249">
        <f t="shared" si="7"/>
        <v>0</v>
      </c>
      <c r="R10" s="250">
        <f t="shared" si="8"/>
        <v>0</v>
      </c>
      <c r="S10" s="253">
        <f t="shared" si="9"/>
        <v>0</v>
      </c>
      <c r="T10" s="256">
        <f t="shared" si="10"/>
        <v>0</v>
      </c>
      <c r="U10" s="249">
        <f t="shared" si="11"/>
        <v>0</v>
      </c>
      <c r="V10" s="250">
        <f t="shared" si="12"/>
        <v>0</v>
      </c>
      <c r="W10" s="253">
        <f t="shared" si="13"/>
        <v>0</v>
      </c>
      <c r="X10" s="256">
        <f t="shared" si="14"/>
        <v>0</v>
      </c>
      <c r="Y10" s="249">
        <f t="shared" si="15"/>
        <v>93952.7</v>
      </c>
      <c r="Z10" s="250">
        <f t="shared" si="16"/>
        <v>0</v>
      </c>
      <c r="AA10" s="253">
        <f t="shared" si="17"/>
        <v>93952.7</v>
      </c>
      <c r="AB10" s="256">
        <f t="shared" si="18"/>
        <v>0</v>
      </c>
      <c r="AC10" s="249">
        <f t="shared" si="19"/>
        <v>0</v>
      </c>
      <c r="AD10" s="250">
        <f t="shared" si="20"/>
        <v>0</v>
      </c>
      <c r="AE10" s="253">
        <f t="shared" si="21"/>
        <v>0</v>
      </c>
      <c r="AF10" s="256">
        <f t="shared" si="22"/>
        <v>0</v>
      </c>
      <c r="AG10" s="84">
        <f t="shared" si="23"/>
        <v>-900702.98</v>
      </c>
      <c r="AH10" s="147">
        <f t="shared" si="24"/>
        <v>-1056557.69</v>
      </c>
      <c r="AI10" s="184">
        <f t="shared" si="25"/>
        <v>-1150510.3899999999</v>
      </c>
      <c r="AJ10" s="185">
        <f t="shared" si="0"/>
        <v>-1.334198890670897</v>
      </c>
      <c r="AK10" s="183">
        <f t="shared" si="1"/>
        <v>1436458.61</v>
      </c>
      <c r="AL10" s="18">
        <f t="shared" si="2"/>
        <v>3161104.6100000003</v>
      </c>
      <c r="AM10" s="26"/>
      <c r="AN10" s="27"/>
      <c r="AO10" s="269"/>
      <c r="AP10" s="267"/>
      <c r="AQ10" s="174"/>
      <c r="AR10" s="26"/>
      <c r="AS10" s="27"/>
      <c r="AT10" s="269"/>
      <c r="AU10" s="267"/>
      <c r="AV10" s="174"/>
      <c r="AW10" s="26"/>
      <c r="AX10" s="27"/>
      <c r="AY10" s="269"/>
      <c r="AZ10" s="267"/>
      <c r="BA10" s="174"/>
      <c r="BB10" s="26"/>
      <c r="BC10" s="27"/>
      <c r="BD10" s="28"/>
      <c r="BE10" s="267"/>
      <c r="BF10" s="174"/>
      <c r="BG10" s="37"/>
      <c r="BH10" s="33"/>
      <c r="BI10" s="50"/>
      <c r="BJ10" s="267"/>
      <c r="BK10" s="174"/>
      <c r="BL10" s="26"/>
      <c r="BM10" s="173"/>
      <c r="BN10" s="272"/>
      <c r="BO10" s="267"/>
      <c r="BP10" s="174"/>
      <c r="BQ10" s="37"/>
      <c r="BR10" s="33"/>
      <c r="BS10" s="260"/>
      <c r="BT10" s="264"/>
      <c r="BU10" s="174"/>
      <c r="BV10" s="37"/>
      <c r="BW10" s="33"/>
      <c r="BX10" s="260"/>
      <c r="BY10" s="264"/>
      <c r="BZ10" s="174"/>
      <c r="CA10" s="37">
        <v>93952.7</v>
      </c>
      <c r="CB10" s="27"/>
      <c r="CC10" s="260">
        <v>93952.7</v>
      </c>
      <c r="CD10" s="267"/>
      <c r="CE10" s="174"/>
      <c r="CF10" s="37"/>
      <c r="CG10" s="33"/>
      <c r="CH10" s="269"/>
      <c r="CI10" s="267"/>
      <c r="CJ10" s="174"/>
      <c r="CK10" s="26"/>
      <c r="CL10" s="27"/>
      <c r="CM10" s="269"/>
      <c r="CN10" s="267"/>
      <c r="CO10" s="174"/>
      <c r="CP10" s="37"/>
      <c r="CQ10" s="173"/>
      <c r="CR10" s="260"/>
      <c r="CS10" s="264"/>
      <c r="CT10" s="174"/>
      <c r="CU10" s="437"/>
      <c r="CV10" s="438"/>
      <c r="CW10" s="438"/>
      <c r="CX10" s="439"/>
      <c r="CY10" s="26"/>
      <c r="CZ10" s="173"/>
      <c r="DA10" s="173"/>
      <c r="DB10" s="174"/>
      <c r="DC10" s="433"/>
      <c r="DD10" s="65"/>
      <c r="DE10" s="65"/>
      <c r="DF10" s="434"/>
    </row>
    <row r="11" spans="1:110" x14ac:dyDescent="0.25">
      <c r="A11" s="5" t="s">
        <v>14</v>
      </c>
      <c r="B11" s="6">
        <v>6</v>
      </c>
      <c r="C11" s="456">
        <v>1657636</v>
      </c>
      <c r="D11" s="83">
        <f>'Qrtrly Cash Balances'!C8</f>
        <v>7609139.3700000001</v>
      </c>
      <c r="E11" s="35">
        <f>RUTF!$D9</f>
        <v>503794.94</v>
      </c>
      <c r="F11" s="401">
        <f>RUTF!$E9</f>
        <v>552596.52</v>
      </c>
      <c r="G11" s="406">
        <f>RUTF!$F9</f>
        <v>0</v>
      </c>
      <c r="H11" s="155">
        <f>RUTF!$G9</f>
        <v>0</v>
      </c>
      <c r="I11" s="156">
        <f>Federal!$F8+Federal!$J8+Federal!$N8+Federal!$R8</f>
        <v>0</v>
      </c>
      <c r="J11" s="155">
        <f>'Co Contrib'!C8+'Co Contrib'!D8+'Co Contrib'!E8+'Co Contrib'!F8+'Other Rev'!E8+'Other Rev'!H8+'Other Rev'!K8+'Other Rev'!N8</f>
        <v>0</v>
      </c>
      <c r="K11" s="149">
        <f>-1*(Expenditures!H8+Expenditures!N8+Expenditures!T8+Expenditures!Z8)</f>
        <v>-5988262.7800000003</v>
      </c>
      <c r="L11" s="74">
        <f>'Qrtrly Obligations'!U7</f>
        <v>-427969.01</v>
      </c>
      <c r="M11" s="246">
        <f t="shared" si="3"/>
        <v>0</v>
      </c>
      <c r="N11" s="248">
        <f t="shared" si="4"/>
        <v>0</v>
      </c>
      <c r="O11" s="54">
        <f t="shared" si="5"/>
        <v>0</v>
      </c>
      <c r="P11" s="255">
        <f t="shared" si="6"/>
        <v>0</v>
      </c>
      <c r="Q11" s="246">
        <f t="shared" si="7"/>
        <v>0</v>
      </c>
      <c r="R11" s="248">
        <f t="shared" si="8"/>
        <v>0</v>
      </c>
      <c r="S11" s="54">
        <f t="shared" si="9"/>
        <v>0</v>
      </c>
      <c r="T11" s="255">
        <f t="shared" si="10"/>
        <v>0</v>
      </c>
      <c r="U11" s="246">
        <f t="shared" si="11"/>
        <v>0</v>
      </c>
      <c r="V11" s="248">
        <f t="shared" si="12"/>
        <v>0</v>
      </c>
      <c r="W11" s="54">
        <f t="shared" si="13"/>
        <v>0</v>
      </c>
      <c r="X11" s="255">
        <f t="shared" si="14"/>
        <v>0</v>
      </c>
      <c r="Y11" s="246">
        <f t="shared" si="15"/>
        <v>0</v>
      </c>
      <c r="Z11" s="248">
        <f t="shared" si="16"/>
        <v>0</v>
      </c>
      <c r="AA11" s="54">
        <f t="shared" si="17"/>
        <v>0</v>
      </c>
      <c r="AB11" s="255">
        <f t="shared" si="18"/>
        <v>0</v>
      </c>
      <c r="AC11" s="246">
        <f t="shared" si="19"/>
        <v>0</v>
      </c>
      <c r="AD11" s="248">
        <f t="shared" si="20"/>
        <v>0</v>
      </c>
      <c r="AE11" s="54">
        <f t="shared" si="21"/>
        <v>0</v>
      </c>
      <c r="AF11" s="255">
        <f t="shared" si="22"/>
        <v>0</v>
      </c>
      <c r="AG11" s="83">
        <f t="shared" si="23"/>
        <v>2677268.0499999998</v>
      </c>
      <c r="AH11" s="146">
        <f t="shared" si="24"/>
        <v>2249299.04</v>
      </c>
      <c r="AI11" s="181">
        <f t="shared" si="25"/>
        <v>2249299.04</v>
      </c>
      <c r="AJ11" s="182">
        <f t="shared" si="0"/>
        <v>1.3569318233918666</v>
      </c>
      <c r="AK11" s="186">
        <f t="shared" si="1"/>
        <v>7222207.04</v>
      </c>
      <c r="AL11" s="7">
        <f t="shared" si="2"/>
        <v>10537479.039999999</v>
      </c>
      <c r="AM11" s="34"/>
      <c r="AN11" s="24"/>
      <c r="AO11" s="99"/>
      <c r="AP11" s="265"/>
      <c r="AQ11" s="278"/>
      <c r="AR11" s="23"/>
      <c r="AS11" s="25"/>
      <c r="AT11" s="104"/>
      <c r="AU11" s="265"/>
      <c r="AV11" s="278"/>
      <c r="AW11" s="23"/>
      <c r="AX11" s="24"/>
      <c r="AY11" s="104"/>
      <c r="AZ11" s="265"/>
      <c r="BA11" s="278"/>
      <c r="BB11" s="23"/>
      <c r="BC11" s="24"/>
      <c r="BD11" s="25"/>
      <c r="BE11" s="265"/>
      <c r="BF11" s="278"/>
      <c r="BG11" s="34"/>
      <c r="BH11" s="35"/>
      <c r="BI11" s="25"/>
      <c r="BJ11" s="265"/>
      <c r="BK11" s="278"/>
      <c r="BL11" s="34"/>
      <c r="BM11" s="94"/>
      <c r="BN11" s="104"/>
      <c r="BO11" s="265"/>
      <c r="BP11" s="278"/>
      <c r="BQ11" s="34"/>
      <c r="BR11" s="35"/>
      <c r="BS11" s="99"/>
      <c r="BT11" s="263"/>
      <c r="BU11" s="278"/>
      <c r="BV11" s="23"/>
      <c r="BW11" s="24"/>
      <c r="BX11" s="104"/>
      <c r="BY11" s="263"/>
      <c r="BZ11" s="278"/>
      <c r="CA11" s="34"/>
      <c r="CB11" s="35"/>
      <c r="CC11" s="104"/>
      <c r="CD11" s="265"/>
      <c r="CE11" s="278"/>
      <c r="CF11" s="34"/>
      <c r="CG11" s="35"/>
      <c r="CH11" s="104"/>
      <c r="CI11" s="265"/>
      <c r="CJ11" s="278"/>
      <c r="CK11" s="34"/>
      <c r="CL11" s="24"/>
      <c r="CM11" s="99"/>
      <c r="CN11" s="265"/>
      <c r="CO11" s="278"/>
      <c r="CP11" s="34"/>
      <c r="CQ11" s="279"/>
      <c r="CR11" s="104"/>
      <c r="CS11" s="263"/>
      <c r="CT11" s="278"/>
      <c r="CU11" s="430"/>
      <c r="CV11" s="431"/>
      <c r="CW11" s="431"/>
      <c r="CX11" s="432"/>
      <c r="CY11" s="23"/>
      <c r="CZ11" s="171"/>
      <c r="DA11" s="171"/>
      <c r="DB11" s="172"/>
      <c r="DC11" s="433"/>
      <c r="DD11" s="65"/>
      <c r="DE11" s="65"/>
      <c r="DF11" s="434"/>
    </row>
    <row r="12" spans="1:110" ht="15" customHeight="1" x14ac:dyDescent="0.25">
      <c r="A12" s="5" t="s">
        <v>15</v>
      </c>
      <c r="B12" s="6">
        <v>7</v>
      </c>
      <c r="C12" s="456">
        <v>1612927</v>
      </c>
      <c r="D12" s="83">
        <f>'Qrtrly Cash Balances'!C9</f>
        <v>-1322890.8500000001</v>
      </c>
      <c r="E12" s="35">
        <f>RUTF!$D10</f>
        <v>490206.95</v>
      </c>
      <c r="F12" s="401">
        <f>RUTF!$E10</f>
        <v>537692.29</v>
      </c>
      <c r="G12" s="406">
        <f>RUTF!$F10</f>
        <v>0</v>
      </c>
      <c r="H12" s="155">
        <f>RUTF!$G10</f>
        <v>0</v>
      </c>
      <c r="I12" s="156">
        <f>Federal!$F9+Federal!$J9+Federal!$N9+Federal!$R9</f>
        <v>221688.29</v>
      </c>
      <c r="J12" s="155">
        <f>'Co Contrib'!C9+'Co Contrib'!D9+'Co Contrib'!E9+'Co Contrib'!F9+'Other Rev'!E9+'Other Rev'!H9+'Other Rev'!K9+'Other Rev'!N9</f>
        <v>0</v>
      </c>
      <c r="K12" s="149">
        <f>-1*(Expenditures!H9+Expenditures!N9+Expenditures!T9+Expenditures!Z9)</f>
        <v>-221484.93</v>
      </c>
      <c r="L12" s="74">
        <f>'Qrtrly Obligations'!U8</f>
        <v>-2134288.94</v>
      </c>
      <c r="M12" s="246">
        <f t="shared" si="3"/>
        <v>1785943.36</v>
      </c>
      <c r="N12" s="248">
        <f t="shared" si="4"/>
        <v>0</v>
      </c>
      <c r="O12" s="54">
        <f t="shared" si="5"/>
        <v>1785943.36</v>
      </c>
      <c r="P12" s="255">
        <f t="shared" si="6"/>
        <v>495774.71</v>
      </c>
      <c r="Q12" s="246">
        <f t="shared" si="7"/>
        <v>0</v>
      </c>
      <c r="R12" s="248">
        <f t="shared" si="8"/>
        <v>0</v>
      </c>
      <c r="S12" s="54">
        <f t="shared" si="9"/>
        <v>0</v>
      </c>
      <c r="T12" s="255">
        <f t="shared" si="10"/>
        <v>0</v>
      </c>
      <c r="U12" s="246">
        <f t="shared" si="11"/>
        <v>1612581.86</v>
      </c>
      <c r="V12" s="248">
        <f t="shared" si="12"/>
        <v>0</v>
      </c>
      <c r="W12" s="54">
        <f t="shared" si="13"/>
        <v>1612581.86</v>
      </c>
      <c r="X12" s="255">
        <f t="shared" si="14"/>
        <v>495774.71</v>
      </c>
      <c r="Y12" s="246">
        <f t="shared" si="15"/>
        <v>173361.5</v>
      </c>
      <c r="Z12" s="248">
        <f t="shared" si="16"/>
        <v>0</v>
      </c>
      <c r="AA12" s="54">
        <f t="shared" si="17"/>
        <v>173361.5</v>
      </c>
      <c r="AB12" s="255">
        <f t="shared" si="18"/>
        <v>0</v>
      </c>
      <c r="AC12" s="246">
        <f t="shared" si="19"/>
        <v>0</v>
      </c>
      <c r="AD12" s="248">
        <f t="shared" si="20"/>
        <v>0</v>
      </c>
      <c r="AE12" s="54">
        <f t="shared" si="21"/>
        <v>0</v>
      </c>
      <c r="AF12" s="255">
        <f t="shared" si="22"/>
        <v>0</v>
      </c>
      <c r="AG12" s="83">
        <f t="shared" si="23"/>
        <v>-294788.25000000012</v>
      </c>
      <c r="AH12" s="146">
        <f t="shared" si="24"/>
        <v>-2429077.19</v>
      </c>
      <c r="AI12" s="181">
        <f t="shared" si="25"/>
        <v>-2602438.69</v>
      </c>
      <c r="AJ12" s="182">
        <f t="shared" si="0"/>
        <v>-1.6134882049838586</v>
      </c>
      <c r="AK12" s="183">
        <f t="shared" si="1"/>
        <v>2236342.31</v>
      </c>
      <c r="AL12" s="7">
        <f t="shared" si="2"/>
        <v>5462196.3100000005</v>
      </c>
      <c r="AM12" s="34"/>
      <c r="AN12" s="35"/>
      <c r="AO12" s="104"/>
      <c r="AP12" s="265"/>
      <c r="AQ12" s="278"/>
      <c r="AR12" s="23"/>
      <c r="AS12" s="24"/>
      <c r="AT12" s="104"/>
      <c r="AU12" s="265"/>
      <c r="AV12" s="278"/>
      <c r="AW12" s="23"/>
      <c r="AX12" s="24"/>
      <c r="AY12" s="104"/>
      <c r="AZ12" s="265"/>
      <c r="BA12" s="278"/>
      <c r="BB12" s="23"/>
      <c r="BC12" s="24"/>
      <c r="BD12" s="25"/>
      <c r="BE12" s="265"/>
      <c r="BF12" s="278"/>
      <c r="BG12" s="23">
        <v>1612581.86</v>
      </c>
      <c r="BH12" s="24"/>
      <c r="BI12" s="25">
        <v>1612581.86</v>
      </c>
      <c r="BJ12" s="265"/>
      <c r="BK12" s="278">
        <v>495774.71</v>
      </c>
      <c r="BL12" s="23"/>
      <c r="BM12" s="93"/>
      <c r="BN12" s="104"/>
      <c r="BO12" s="265"/>
      <c r="BP12" s="278"/>
      <c r="BQ12" s="34">
        <v>173361.5</v>
      </c>
      <c r="BR12" s="35"/>
      <c r="BS12" s="99">
        <v>173361.5</v>
      </c>
      <c r="BT12" s="263"/>
      <c r="BU12" s="278"/>
      <c r="BV12" s="23"/>
      <c r="BW12" s="35"/>
      <c r="BX12" s="104"/>
      <c r="BY12" s="263"/>
      <c r="BZ12" s="278"/>
      <c r="CA12" s="34"/>
      <c r="CB12" s="35"/>
      <c r="CC12" s="99"/>
      <c r="CD12" s="265"/>
      <c r="CE12" s="278"/>
      <c r="CF12" s="23"/>
      <c r="CG12" s="35"/>
      <c r="CH12" s="99"/>
      <c r="CI12" s="265"/>
      <c r="CJ12" s="278"/>
      <c r="CK12" s="34"/>
      <c r="CL12" s="35"/>
      <c r="CM12" s="99"/>
      <c r="CN12" s="265"/>
      <c r="CO12" s="278"/>
      <c r="CP12" s="34"/>
      <c r="CQ12" s="279"/>
      <c r="CR12" s="99"/>
      <c r="CS12" s="263"/>
      <c r="CT12" s="278"/>
      <c r="CU12" s="430"/>
      <c r="CV12" s="431"/>
      <c r="CW12" s="431"/>
      <c r="CX12" s="432"/>
      <c r="CY12" s="23"/>
      <c r="CZ12" s="171"/>
      <c r="DA12" s="171"/>
      <c r="DB12" s="172"/>
      <c r="DC12" s="433"/>
      <c r="DD12" s="65"/>
      <c r="DE12" s="65"/>
      <c r="DF12" s="434"/>
    </row>
    <row r="13" spans="1:110" ht="15" customHeight="1" x14ac:dyDescent="0.25">
      <c r="A13" s="5" t="s">
        <v>16</v>
      </c>
      <c r="B13" s="6">
        <v>8</v>
      </c>
      <c r="C13" s="456">
        <v>1349720</v>
      </c>
      <c r="D13" s="83">
        <f>'Qrtrly Cash Balances'!C10</f>
        <v>2880534.83</v>
      </c>
      <c r="E13" s="35">
        <f>RUTF!$D11</f>
        <v>410212.14</v>
      </c>
      <c r="F13" s="401">
        <f>RUTF!$E11</f>
        <v>449948.55</v>
      </c>
      <c r="G13" s="406">
        <f>RUTF!$F11</f>
        <v>0</v>
      </c>
      <c r="H13" s="155">
        <f>RUTF!$G11</f>
        <v>0</v>
      </c>
      <c r="I13" s="156">
        <f>Federal!$F10+Federal!$J10+Federal!$N10+Federal!$R10</f>
        <v>0</v>
      </c>
      <c r="J13" s="155">
        <f>'Co Contrib'!C10+'Co Contrib'!D10+'Co Contrib'!E10+'Co Contrib'!F10+'Other Rev'!E10+'Other Rev'!H10+'Other Rev'!K10+'Other Rev'!N10</f>
        <v>0</v>
      </c>
      <c r="K13" s="149">
        <f>-1*(Expenditures!H10+Expenditures!N10+Expenditures!T10+Expenditures!Z10)</f>
        <v>-1118677.74</v>
      </c>
      <c r="L13" s="74">
        <f>'Qrtrly Obligations'!U9</f>
        <v>-601004.4</v>
      </c>
      <c r="M13" s="246">
        <f t="shared" si="3"/>
        <v>0</v>
      </c>
      <c r="N13" s="248">
        <f t="shared" si="4"/>
        <v>0</v>
      </c>
      <c r="O13" s="54">
        <f t="shared" si="5"/>
        <v>0</v>
      </c>
      <c r="P13" s="255">
        <f t="shared" si="6"/>
        <v>586206.17000000004</v>
      </c>
      <c r="Q13" s="246">
        <f t="shared" si="7"/>
        <v>0</v>
      </c>
      <c r="R13" s="248">
        <f t="shared" si="8"/>
        <v>0</v>
      </c>
      <c r="S13" s="54">
        <f t="shared" si="9"/>
        <v>0</v>
      </c>
      <c r="T13" s="255">
        <f t="shared" si="10"/>
        <v>0</v>
      </c>
      <c r="U13" s="246">
        <f t="shared" si="11"/>
        <v>0</v>
      </c>
      <c r="V13" s="248">
        <f t="shared" si="12"/>
        <v>0</v>
      </c>
      <c r="W13" s="54">
        <f t="shared" si="13"/>
        <v>0</v>
      </c>
      <c r="X13" s="255">
        <f t="shared" si="14"/>
        <v>586206.17000000004</v>
      </c>
      <c r="Y13" s="246">
        <f t="shared" si="15"/>
        <v>0</v>
      </c>
      <c r="Z13" s="248">
        <f t="shared" si="16"/>
        <v>0</v>
      </c>
      <c r="AA13" s="54">
        <f t="shared" si="17"/>
        <v>0</v>
      </c>
      <c r="AB13" s="255">
        <f t="shared" si="18"/>
        <v>0</v>
      </c>
      <c r="AC13" s="246">
        <f t="shared" si="19"/>
        <v>0</v>
      </c>
      <c r="AD13" s="248">
        <f t="shared" si="20"/>
        <v>0</v>
      </c>
      <c r="AE13" s="54">
        <f t="shared" si="21"/>
        <v>0</v>
      </c>
      <c r="AF13" s="255">
        <f t="shared" si="22"/>
        <v>0</v>
      </c>
      <c r="AG13" s="83">
        <f t="shared" si="23"/>
        <v>2622017.7800000003</v>
      </c>
      <c r="AH13" s="146">
        <f t="shared" si="24"/>
        <v>2021013.3800000004</v>
      </c>
      <c r="AI13" s="181">
        <f t="shared" si="25"/>
        <v>2021013.3800000004</v>
      </c>
      <c r="AJ13" s="182">
        <f t="shared" si="0"/>
        <v>1.4973575111875059</v>
      </c>
      <c r="AK13" s="183">
        <f t="shared" si="1"/>
        <v>6070173.3800000008</v>
      </c>
      <c r="AL13" s="7">
        <f t="shared" si="2"/>
        <v>8769613.3800000008</v>
      </c>
      <c r="AM13" s="34"/>
      <c r="AN13" s="35"/>
      <c r="AO13" s="104"/>
      <c r="AP13" s="265"/>
      <c r="AQ13" s="278"/>
      <c r="AR13" s="23"/>
      <c r="AS13" s="24"/>
      <c r="AT13" s="104"/>
      <c r="AU13" s="265"/>
      <c r="AV13" s="278"/>
      <c r="AW13" s="23"/>
      <c r="AX13" s="24"/>
      <c r="AY13" s="104"/>
      <c r="AZ13" s="265"/>
      <c r="BA13" s="278"/>
      <c r="BB13" s="23"/>
      <c r="BC13" s="24"/>
      <c r="BD13" s="25"/>
      <c r="BE13" s="265"/>
      <c r="BF13" s="278"/>
      <c r="BG13" s="23"/>
      <c r="BH13" s="24"/>
      <c r="BI13" s="25"/>
      <c r="BJ13" s="265"/>
      <c r="BK13" s="278">
        <v>586206.17000000004</v>
      </c>
      <c r="BL13" s="23"/>
      <c r="BM13" s="93"/>
      <c r="BN13" s="271"/>
      <c r="BO13" s="265"/>
      <c r="BP13" s="278"/>
      <c r="BQ13" s="34"/>
      <c r="BR13" s="35"/>
      <c r="BS13" s="99"/>
      <c r="BT13" s="263"/>
      <c r="BU13" s="278"/>
      <c r="BV13" s="34"/>
      <c r="BW13" s="35"/>
      <c r="BX13" s="99"/>
      <c r="BY13" s="263"/>
      <c r="BZ13" s="278"/>
      <c r="CA13" s="34"/>
      <c r="CB13" s="35"/>
      <c r="CC13" s="99"/>
      <c r="CD13" s="265"/>
      <c r="CE13" s="278"/>
      <c r="CF13" s="34"/>
      <c r="CG13" s="24"/>
      <c r="CH13" s="99"/>
      <c r="CI13" s="265"/>
      <c r="CJ13" s="278"/>
      <c r="CK13" s="23"/>
      <c r="CL13" s="24"/>
      <c r="CM13" s="104"/>
      <c r="CN13" s="265"/>
      <c r="CO13" s="278"/>
      <c r="CP13" s="23"/>
      <c r="CQ13" s="171"/>
      <c r="CR13" s="104"/>
      <c r="CS13" s="263"/>
      <c r="CT13" s="278"/>
      <c r="CU13" s="430"/>
      <c r="CV13" s="431"/>
      <c r="CW13" s="431"/>
      <c r="CX13" s="432"/>
      <c r="CY13" s="23"/>
      <c r="CZ13" s="171"/>
      <c r="DA13" s="171"/>
      <c r="DB13" s="172"/>
      <c r="DC13" s="433"/>
      <c r="DD13" s="65"/>
      <c r="DE13" s="65"/>
      <c r="DF13" s="434"/>
    </row>
    <row r="14" spans="1:110" ht="15" customHeight="1" x14ac:dyDescent="0.25">
      <c r="A14" s="5" t="s">
        <v>17</v>
      </c>
      <c r="B14" s="6">
        <v>9</v>
      </c>
      <c r="C14" s="456">
        <v>1049413</v>
      </c>
      <c r="D14" s="83">
        <f>'Qrtrly Cash Balances'!C11</f>
        <v>-465847.4</v>
      </c>
      <c r="E14" s="35">
        <f>RUTF!$D12</f>
        <v>318941.7</v>
      </c>
      <c r="F14" s="401">
        <f>RUTF!$E12</f>
        <v>349836.94</v>
      </c>
      <c r="G14" s="406">
        <f>RUTF!$F12</f>
        <v>0</v>
      </c>
      <c r="H14" s="155">
        <f>RUTF!$G12</f>
        <v>0</v>
      </c>
      <c r="I14" s="156">
        <f>Federal!$F11+Federal!$J11+Federal!$N11+Federal!$R11</f>
        <v>753886.5</v>
      </c>
      <c r="J14" s="155">
        <f>'Co Contrib'!C11+'Co Contrib'!D11+'Co Contrib'!E11+'Co Contrib'!F11+'Other Rev'!E11+'Other Rev'!H11+'Other Rev'!K11+'Other Rev'!N11</f>
        <v>0</v>
      </c>
      <c r="K14" s="149">
        <f>-1*(Expenditures!H11+Expenditures!N11+Expenditures!T11+Expenditures!Z11)</f>
        <v>-753886.5</v>
      </c>
      <c r="L14" s="74">
        <f>'Qrtrly Obligations'!U10</f>
        <v>-236679.39</v>
      </c>
      <c r="M14" s="246">
        <f t="shared" si="3"/>
        <v>0</v>
      </c>
      <c r="N14" s="248">
        <f t="shared" si="4"/>
        <v>0</v>
      </c>
      <c r="O14" s="54">
        <f t="shared" si="5"/>
        <v>0</v>
      </c>
      <c r="P14" s="255">
        <f t="shared" si="6"/>
        <v>0</v>
      </c>
      <c r="Q14" s="246">
        <f t="shared" si="7"/>
        <v>0</v>
      </c>
      <c r="R14" s="248">
        <f t="shared" si="8"/>
        <v>0</v>
      </c>
      <c r="S14" s="54">
        <f t="shared" si="9"/>
        <v>0</v>
      </c>
      <c r="T14" s="255">
        <f t="shared" si="10"/>
        <v>0</v>
      </c>
      <c r="U14" s="246">
        <f t="shared" si="11"/>
        <v>0</v>
      </c>
      <c r="V14" s="248">
        <f t="shared" si="12"/>
        <v>0</v>
      </c>
      <c r="W14" s="54">
        <f t="shared" si="13"/>
        <v>0</v>
      </c>
      <c r="X14" s="255">
        <f t="shared" si="14"/>
        <v>0</v>
      </c>
      <c r="Y14" s="246">
        <f t="shared" si="15"/>
        <v>0</v>
      </c>
      <c r="Z14" s="248">
        <f t="shared" si="16"/>
        <v>0</v>
      </c>
      <c r="AA14" s="54">
        <f t="shared" si="17"/>
        <v>0</v>
      </c>
      <c r="AB14" s="255">
        <f t="shared" si="18"/>
        <v>0</v>
      </c>
      <c r="AC14" s="246">
        <f t="shared" si="19"/>
        <v>0</v>
      </c>
      <c r="AD14" s="248">
        <f t="shared" si="20"/>
        <v>0</v>
      </c>
      <c r="AE14" s="54">
        <f t="shared" si="21"/>
        <v>0</v>
      </c>
      <c r="AF14" s="255">
        <f t="shared" si="22"/>
        <v>0</v>
      </c>
      <c r="AG14" s="83">
        <f t="shared" si="23"/>
        <v>202931.24</v>
      </c>
      <c r="AH14" s="146">
        <f t="shared" si="24"/>
        <v>-33748.150000000023</v>
      </c>
      <c r="AI14" s="181">
        <f t="shared" si="25"/>
        <v>-33748.150000000023</v>
      </c>
      <c r="AJ14" s="182">
        <f t="shared" si="0"/>
        <v>-3.2159073691673368E-2</v>
      </c>
      <c r="AK14" s="183">
        <f t="shared" si="1"/>
        <v>3114490.85</v>
      </c>
      <c r="AL14" s="7">
        <f t="shared" si="2"/>
        <v>5213316.8499999996</v>
      </c>
      <c r="AM14" s="23"/>
      <c r="AN14" s="24"/>
      <c r="AO14" s="104"/>
      <c r="AP14" s="265"/>
      <c r="AQ14" s="364"/>
      <c r="AR14" s="23"/>
      <c r="AS14" s="24"/>
      <c r="AT14" s="104"/>
      <c r="AU14" s="265"/>
      <c r="AV14" s="364"/>
      <c r="AW14" s="23"/>
      <c r="AX14" s="24"/>
      <c r="AY14" s="104"/>
      <c r="AZ14" s="265"/>
      <c r="BA14" s="364"/>
      <c r="BB14" s="23"/>
      <c r="BC14" s="24"/>
      <c r="BD14" s="25"/>
      <c r="BE14" s="265"/>
      <c r="BF14" s="364"/>
      <c r="BG14" s="23"/>
      <c r="BH14" s="24"/>
      <c r="BI14" s="25"/>
      <c r="BJ14" s="265"/>
      <c r="BK14" s="364"/>
      <c r="BL14" s="34"/>
      <c r="BM14" s="94"/>
      <c r="BN14" s="99"/>
      <c r="BO14" s="265"/>
      <c r="BP14" s="364"/>
      <c r="BQ14" s="34"/>
      <c r="BR14" s="35"/>
      <c r="BS14" s="99"/>
      <c r="BT14" s="263"/>
      <c r="BU14" s="364"/>
      <c r="BV14" s="23"/>
      <c r="BW14" s="24"/>
      <c r="BX14" s="104"/>
      <c r="BY14" s="263"/>
      <c r="BZ14" s="364"/>
      <c r="CA14" s="34"/>
      <c r="CB14" s="24"/>
      <c r="CC14" s="99"/>
      <c r="CD14" s="265"/>
      <c r="CE14" s="364"/>
      <c r="CF14" s="23"/>
      <c r="CG14" s="24"/>
      <c r="CH14" s="104"/>
      <c r="CI14" s="265"/>
      <c r="CJ14" s="364"/>
      <c r="CK14" s="23"/>
      <c r="CL14" s="93"/>
      <c r="CM14" s="271"/>
      <c r="CN14" s="265"/>
      <c r="CO14" s="364"/>
      <c r="CP14" s="23"/>
      <c r="CQ14" s="171"/>
      <c r="CR14" s="104"/>
      <c r="CS14" s="263"/>
      <c r="CT14" s="364"/>
      <c r="CU14" s="430"/>
      <c r="CV14" s="431"/>
      <c r="CW14" s="431"/>
      <c r="CX14" s="432"/>
      <c r="CY14" s="23"/>
      <c r="CZ14" s="171"/>
      <c r="DA14" s="171"/>
      <c r="DB14" s="172"/>
      <c r="DC14" s="433"/>
      <c r="DD14" s="65"/>
      <c r="DE14" s="65"/>
      <c r="DF14" s="434"/>
    </row>
    <row r="15" spans="1:110" ht="15" customHeight="1" x14ac:dyDescent="0.25">
      <c r="A15" s="9" t="s">
        <v>18</v>
      </c>
      <c r="B15" s="17">
        <v>10</v>
      </c>
      <c r="C15" s="457">
        <v>1494903</v>
      </c>
      <c r="D15" s="84">
        <f>'Qrtrly Cash Balances'!C12</f>
        <v>95297.84</v>
      </c>
      <c r="E15" s="33">
        <f>RUTF!$D13</f>
        <v>454336.71</v>
      </c>
      <c r="F15" s="402">
        <f>RUTF!$E13</f>
        <v>498347.38</v>
      </c>
      <c r="G15" s="160">
        <f>RUTF!$F13</f>
        <v>0</v>
      </c>
      <c r="H15" s="159">
        <f>RUTF!$G13</f>
        <v>0</v>
      </c>
      <c r="I15" s="160">
        <f>Federal!$F12+Federal!$J12+Federal!$N12+Federal!$R12</f>
        <v>0</v>
      </c>
      <c r="J15" s="159">
        <f>'Co Contrib'!C12+'Co Contrib'!D12+'Co Contrib'!E12+'Co Contrib'!F12+'Other Rev'!E12+'Other Rev'!H12+'Other Rev'!K12+'Other Rev'!N12</f>
        <v>0</v>
      </c>
      <c r="K15" s="151">
        <f>-1*(Expenditures!H12+Expenditures!N12+Expenditures!T12+Expenditures!Z12)</f>
        <v>-86660.72</v>
      </c>
      <c r="L15" s="56">
        <f>'Qrtrly Obligations'!U11</f>
        <v>0</v>
      </c>
      <c r="M15" s="249">
        <f t="shared" si="3"/>
        <v>6400921.7699999996</v>
      </c>
      <c r="N15" s="250">
        <f t="shared" si="4"/>
        <v>3234439.67</v>
      </c>
      <c r="O15" s="253">
        <f t="shared" si="5"/>
        <v>945482.1</v>
      </c>
      <c r="P15" s="256">
        <f t="shared" si="6"/>
        <v>609788.25</v>
      </c>
      <c r="Q15" s="249">
        <f t="shared" si="7"/>
        <v>945482.1</v>
      </c>
      <c r="R15" s="250">
        <f t="shared" si="8"/>
        <v>0</v>
      </c>
      <c r="S15" s="253">
        <f t="shared" si="9"/>
        <v>945482.1</v>
      </c>
      <c r="T15" s="256">
        <f t="shared" si="10"/>
        <v>0</v>
      </c>
      <c r="U15" s="249">
        <f t="shared" si="11"/>
        <v>0</v>
      </c>
      <c r="V15" s="250">
        <f t="shared" si="12"/>
        <v>0</v>
      </c>
      <c r="W15" s="253">
        <f t="shared" si="13"/>
        <v>0</v>
      </c>
      <c r="X15" s="256">
        <f t="shared" si="14"/>
        <v>0</v>
      </c>
      <c r="Y15" s="249">
        <f t="shared" si="15"/>
        <v>5455439.6699999999</v>
      </c>
      <c r="Z15" s="250">
        <f t="shared" si="16"/>
        <v>3234439.67</v>
      </c>
      <c r="AA15" s="253">
        <f t="shared" si="17"/>
        <v>0</v>
      </c>
      <c r="AB15" s="256">
        <f t="shared" si="18"/>
        <v>609788.25</v>
      </c>
      <c r="AC15" s="249">
        <f t="shared" si="19"/>
        <v>0</v>
      </c>
      <c r="AD15" s="250">
        <f t="shared" si="20"/>
        <v>0</v>
      </c>
      <c r="AE15" s="253">
        <f t="shared" si="21"/>
        <v>0</v>
      </c>
      <c r="AF15" s="256">
        <f t="shared" si="22"/>
        <v>0</v>
      </c>
      <c r="AG15" s="84">
        <f t="shared" si="23"/>
        <v>961321.21000000008</v>
      </c>
      <c r="AH15" s="147">
        <f t="shared" si="24"/>
        <v>961321.21000000008</v>
      </c>
      <c r="AI15" s="184">
        <f t="shared" si="25"/>
        <v>-2882906.71</v>
      </c>
      <c r="AJ15" s="185">
        <f t="shared" si="0"/>
        <v>-1.9284908184678202</v>
      </c>
      <c r="AK15" s="183">
        <f t="shared" si="1"/>
        <v>1601802.29</v>
      </c>
      <c r="AL15" s="18">
        <f t="shared" si="2"/>
        <v>4591608.29</v>
      </c>
      <c r="AM15" s="37"/>
      <c r="AN15" s="33"/>
      <c r="AO15" s="269"/>
      <c r="AP15" s="267"/>
      <c r="AQ15" s="174"/>
      <c r="AR15" s="26"/>
      <c r="AS15" s="27"/>
      <c r="AT15" s="269"/>
      <c r="AU15" s="267"/>
      <c r="AV15" s="174"/>
      <c r="AW15" s="26">
        <v>945482.1</v>
      </c>
      <c r="AX15" s="27"/>
      <c r="AY15" s="269">
        <v>945482.1</v>
      </c>
      <c r="AZ15" s="267"/>
      <c r="BA15" s="174"/>
      <c r="BB15" s="26"/>
      <c r="BC15" s="27"/>
      <c r="BD15" s="28"/>
      <c r="BE15" s="267"/>
      <c r="BF15" s="174"/>
      <c r="BG15" s="26"/>
      <c r="BH15" s="27"/>
      <c r="BI15" s="28"/>
      <c r="BJ15" s="267"/>
      <c r="BK15" s="174"/>
      <c r="BL15" s="37"/>
      <c r="BM15" s="365"/>
      <c r="BN15" s="269"/>
      <c r="BO15" s="267"/>
      <c r="BP15" s="174"/>
      <c r="BQ15" s="37">
        <v>5455439.6699999999</v>
      </c>
      <c r="BR15" s="33">
        <v>3234439.67</v>
      </c>
      <c r="BS15" s="260"/>
      <c r="BT15" s="264"/>
      <c r="BU15" s="174">
        <v>609788.25</v>
      </c>
      <c r="BV15" s="26"/>
      <c r="BW15" s="27"/>
      <c r="BX15" s="269"/>
      <c r="BY15" s="264"/>
      <c r="BZ15" s="174"/>
      <c r="CA15" s="37"/>
      <c r="CB15" s="33"/>
      <c r="CC15" s="269"/>
      <c r="CD15" s="267"/>
      <c r="CE15" s="174"/>
      <c r="CF15" s="26"/>
      <c r="CG15" s="27"/>
      <c r="CH15" s="269"/>
      <c r="CI15" s="267"/>
      <c r="CJ15" s="174"/>
      <c r="CK15" s="26"/>
      <c r="CL15" s="27"/>
      <c r="CM15" s="269"/>
      <c r="CN15" s="267"/>
      <c r="CO15" s="174"/>
      <c r="CP15" s="26"/>
      <c r="CQ15" s="173"/>
      <c r="CR15" s="269"/>
      <c r="CS15" s="264"/>
      <c r="CT15" s="174"/>
      <c r="CU15" s="437"/>
      <c r="CV15" s="438"/>
      <c r="CW15" s="438"/>
      <c r="CX15" s="439"/>
      <c r="CY15" s="26"/>
      <c r="CZ15" s="173"/>
      <c r="DA15" s="173"/>
      <c r="DB15" s="174"/>
      <c r="DC15" s="433"/>
      <c r="DD15" s="65"/>
      <c r="DE15" s="65"/>
      <c r="DF15" s="434"/>
    </row>
    <row r="16" spans="1:110" ht="15" customHeight="1" x14ac:dyDescent="0.25">
      <c r="A16" s="5" t="s">
        <v>19</v>
      </c>
      <c r="B16" s="6">
        <v>11</v>
      </c>
      <c r="C16" s="456">
        <v>1204716</v>
      </c>
      <c r="D16" s="83">
        <f>'Qrtrly Cash Balances'!C13</f>
        <v>5527902.8200000003</v>
      </c>
      <c r="E16" s="35">
        <f>RUTF!$D14</f>
        <v>366142.01</v>
      </c>
      <c r="F16" s="401">
        <f>RUTF!$E14</f>
        <v>401609.44</v>
      </c>
      <c r="G16" s="406">
        <f>RUTF!$F14</f>
        <v>0</v>
      </c>
      <c r="H16" s="155">
        <f>RUTF!$G14</f>
        <v>0</v>
      </c>
      <c r="I16" s="156">
        <f>Federal!$F13+Federal!$J13+Federal!$N13+Federal!$R13</f>
        <v>0</v>
      </c>
      <c r="J16" s="155">
        <f>'Co Contrib'!C13+'Co Contrib'!D13+'Co Contrib'!E13+'Co Contrib'!F13+'Other Rev'!E13+'Other Rev'!H13+'Other Rev'!K13+'Other Rev'!N13</f>
        <v>0</v>
      </c>
      <c r="K16" s="149">
        <f>-1*(Expenditures!H13+Expenditures!N13+Expenditures!T13+Expenditures!Z13)</f>
        <v>905797.6</v>
      </c>
      <c r="L16" s="74">
        <f>'Qrtrly Obligations'!U12</f>
        <v>-131675.85</v>
      </c>
      <c r="M16" s="246">
        <f t="shared" si="3"/>
        <v>2734420.33</v>
      </c>
      <c r="N16" s="248">
        <f t="shared" si="4"/>
        <v>2164420.33</v>
      </c>
      <c r="O16" s="54">
        <f t="shared" si="5"/>
        <v>0</v>
      </c>
      <c r="P16" s="255">
        <f t="shared" si="6"/>
        <v>0</v>
      </c>
      <c r="Q16" s="246">
        <f t="shared" si="7"/>
        <v>0</v>
      </c>
      <c r="R16" s="248">
        <f t="shared" si="8"/>
        <v>0</v>
      </c>
      <c r="S16" s="54">
        <f t="shared" si="9"/>
        <v>0</v>
      </c>
      <c r="T16" s="255">
        <f t="shared" si="10"/>
        <v>0</v>
      </c>
      <c r="U16" s="246">
        <f t="shared" si="11"/>
        <v>0</v>
      </c>
      <c r="V16" s="248">
        <f t="shared" si="12"/>
        <v>0</v>
      </c>
      <c r="W16" s="54">
        <f t="shared" si="13"/>
        <v>0</v>
      </c>
      <c r="X16" s="255">
        <f t="shared" si="14"/>
        <v>0</v>
      </c>
      <c r="Y16" s="246">
        <f t="shared" si="15"/>
        <v>2734420.33</v>
      </c>
      <c r="Z16" s="248">
        <f t="shared" si="16"/>
        <v>2164420.33</v>
      </c>
      <c r="AA16" s="54">
        <f t="shared" si="17"/>
        <v>0</v>
      </c>
      <c r="AB16" s="255">
        <f t="shared" si="18"/>
        <v>0</v>
      </c>
      <c r="AC16" s="246">
        <f t="shared" si="19"/>
        <v>0</v>
      </c>
      <c r="AD16" s="248">
        <f t="shared" si="20"/>
        <v>0</v>
      </c>
      <c r="AE16" s="54">
        <f t="shared" si="21"/>
        <v>0</v>
      </c>
      <c r="AF16" s="255">
        <f t="shared" si="22"/>
        <v>0</v>
      </c>
      <c r="AG16" s="83">
        <f t="shared" si="23"/>
        <v>7201451.8700000001</v>
      </c>
      <c r="AH16" s="146">
        <f t="shared" si="24"/>
        <v>7069776.0200000005</v>
      </c>
      <c r="AI16" s="181">
        <f t="shared" si="25"/>
        <v>4905355.6900000004</v>
      </c>
      <c r="AJ16" s="182">
        <f t="shared" si="0"/>
        <v>4.0717942569037024</v>
      </c>
      <c r="AK16" s="186">
        <f t="shared" si="1"/>
        <v>8519503.6900000013</v>
      </c>
      <c r="AL16" s="7">
        <f t="shared" si="2"/>
        <v>10928935.690000001</v>
      </c>
      <c r="AM16" s="23"/>
      <c r="AN16" s="24"/>
      <c r="AO16" s="104"/>
      <c r="AP16" s="265"/>
      <c r="AQ16" s="278"/>
      <c r="AR16" s="23"/>
      <c r="AS16" s="24"/>
      <c r="AT16" s="104"/>
      <c r="AU16" s="265"/>
      <c r="AV16" s="278"/>
      <c r="AW16" s="23"/>
      <c r="AX16" s="24"/>
      <c r="AY16" s="104"/>
      <c r="AZ16" s="265"/>
      <c r="BA16" s="278"/>
      <c r="BB16" s="23"/>
      <c r="BC16" s="24"/>
      <c r="BD16" s="25"/>
      <c r="BE16" s="265"/>
      <c r="BF16" s="278"/>
      <c r="BG16" s="34"/>
      <c r="BH16" s="35"/>
      <c r="BI16" s="25"/>
      <c r="BJ16" s="265"/>
      <c r="BK16" s="278"/>
      <c r="BL16" s="23"/>
      <c r="BM16" s="93"/>
      <c r="BN16" s="104"/>
      <c r="BO16" s="265"/>
      <c r="BP16" s="278"/>
      <c r="BQ16" s="34">
        <v>2734420.33</v>
      </c>
      <c r="BR16" s="35">
        <v>2164420.33</v>
      </c>
      <c r="BS16" s="99"/>
      <c r="BT16" s="263"/>
      <c r="BU16" s="278"/>
      <c r="BV16" s="34"/>
      <c r="BW16" s="35"/>
      <c r="BX16" s="104"/>
      <c r="BY16" s="263"/>
      <c r="BZ16" s="278"/>
      <c r="CA16" s="23"/>
      <c r="CB16" s="24"/>
      <c r="CC16" s="104"/>
      <c r="CD16" s="265"/>
      <c r="CE16" s="278"/>
      <c r="CF16" s="34"/>
      <c r="CG16" s="62"/>
      <c r="CH16" s="274"/>
      <c r="CI16" s="265"/>
      <c r="CJ16" s="278"/>
      <c r="CK16" s="23"/>
      <c r="CL16" s="24"/>
      <c r="CM16" s="104"/>
      <c r="CN16" s="265"/>
      <c r="CO16" s="278"/>
      <c r="CP16" s="23"/>
      <c r="CQ16" s="171"/>
      <c r="CR16" s="104"/>
      <c r="CS16" s="263"/>
      <c r="CT16" s="278"/>
      <c r="CU16" s="430"/>
      <c r="CV16" s="431"/>
      <c r="CW16" s="431"/>
      <c r="CX16" s="432"/>
      <c r="CY16" s="23"/>
      <c r="CZ16" s="171"/>
      <c r="DA16" s="171"/>
      <c r="DB16" s="172"/>
      <c r="DC16" s="433"/>
      <c r="DD16" s="65"/>
      <c r="DE16" s="65"/>
      <c r="DF16" s="434"/>
    </row>
    <row r="17" spans="1:110" ht="15" customHeight="1" x14ac:dyDescent="0.25">
      <c r="A17" s="5" t="s">
        <v>20</v>
      </c>
      <c r="B17" s="6">
        <v>12</v>
      </c>
      <c r="C17" s="456">
        <v>1318960</v>
      </c>
      <c r="D17" s="83">
        <f>'Qrtrly Cash Balances'!C14</f>
        <v>-1310831.51</v>
      </c>
      <c r="E17" s="35">
        <f>RUTF!$D15</f>
        <v>400863.21</v>
      </c>
      <c r="F17" s="401">
        <f>RUTF!$E15</f>
        <v>439694</v>
      </c>
      <c r="G17" s="406">
        <f>RUTF!$F15</f>
        <v>0</v>
      </c>
      <c r="H17" s="155">
        <f>RUTF!$G15</f>
        <v>0</v>
      </c>
      <c r="I17" s="156">
        <f>Federal!$F14+Federal!$J14+Federal!$N14+Federal!$R14</f>
        <v>4180</v>
      </c>
      <c r="J17" s="155">
        <f>'Co Contrib'!C14+'Co Contrib'!D14+'Co Contrib'!E14+'Co Contrib'!F14+'Other Rev'!E14+'Other Rev'!H14+'Other Rev'!K14+'Other Rev'!N14</f>
        <v>0</v>
      </c>
      <c r="K17" s="149">
        <f>-1*(Expenditures!H14+Expenditures!N14+Expenditures!T14+Expenditures!Z14)</f>
        <v>-2177822.62</v>
      </c>
      <c r="L17" s="74">
        <f>'Qrtrly Obligations'!U13</f>
        <v>-202215.74</v>
      </c>
      <c r="M17" s="246">
        <f t="shared" si="3"/>
        <v>2689399.46</v>
      </c>
      <c r="N17" s="248">
        <f t="shared" si="4"/>
        <v>1889399.46</v>
      </c>
      <c r="O17" s="54">
        <f t="shared" si="5"/>
        <v>0</v>
      </c>
      <c r="P17" s="255">
        <f t="shared" si="6"/>
        <v>1190121</v>
      </c>
      <c r="Q17" s="246">
        <f t="shared" si="7"/>
        <v>0</v>
      </c>
      <c r="R17" s="248">
        <f t="shared" si="8"/>
        <v>0</v>
      </c>
      <c r="S17" s="54">
        <f t="shared" si="9"/>
        <v>0</v>
      </c>
      <c r="T17" s="255">
        <f t="shared" si="10"/>
        <v>0</v>
      </c>
      <c r="U17" s="246">
        <f t="shared" si="11"/>
        <v>0</v>
      </c>
      <c r="V17" s="248">
        <f t="shared" si="12"/>
        <v>0</v>
      </c>
      <c r="W17" s="54">
        <f t="shared" si="13"/>
        <v>0</v>
      </c>
      <c r="X17" s="255">
        <f t="shared" si="14"/>
        <v>0</v>
      </c>
      <c r="Y17" s="246">
        <f t="shared" si="15"/>
        <v>2689399.46</v>
      </c>
      <c r="Z17" s="248">
        <f t="shared" si="16"/>
        <v>1889399.46</v>
      </c>
      <c r="AA17" s="54">
        <f t="shared" si="17"/>
        <v>0</v>
      </c>
      <c r="AB17" s="255">
        <f t="shared" si="18"/>
        <v>1190121</v>
      </c>
      <c r="AC17" s="246">
        <f t="shared" si="19"/>
        <v>0</v>
      </c>
      <c r="AD17" s="248">
        <f t="shared" si="20"/>
        <v>0</v>
      </c>
      <c r="AE17" s="54">
        <f t="shared" si="21"/>
        <v>0</v>
      </c>
      <c r="AF17" s="255">
        <f t="shared" si="22"/>
        <v>0</v>
      </c>
      <c r="AG17" s="83">
        <f t="shared" si="23"/>
        <v>-2643916.92</v>
      </c>
      <c r="AH17" s="146">
        <f t="shared" si="24"/>
        <v>-2846132.66</v>
      </c>
      <c r="AI17" s="181">
        <f t="shared" si="25"/>
        <v>-5925653.1200000001</v>
      </c>
      <c r="AJ17" s="182">
        <f t="shared" si="0"/>
        <v>-4.4926708315642632</v>
      </c>
      <c r="AK17" s="183">
        <f t="shared" si="1"/>
        <v>-1968773.1200000001</v>
      </c>
      <c r="AL17" s="7">
        <f t="shared" si="2"/>
        <v>669146.87999999989</v>
      </c>
      <c r="AM17" s="34"/>
      <c r="AN17" s="35"/>
      <c r="AO17" s="104"/>
      <c r="AP17" s="265"/>
      <c r="AQ17" s="278"/>
      <c r="AR17" s="23"/>
      <c r="AS17" s="24"/>
      <c r="AT17" s="104"/>
      <c r="AU17" s="265"/>
      <c r="AV17" s="278"/>
      <c r="AW17" s="23"/>
      <c r="AX17" s="24"/>
      <c r="AY17" s="104"/>
      <c r="AZ17" s="265"/>
      <c r="BA17" s="278"/>
      <c r="BB17" s="23"/>
      <c r="BC17" s="24"/>
      <c r="BD17" s="25"/>
      <c r="BE17" s="265"/>
      <c r="BF17" s="278"/>
      <c r="BG17" s="23"/>
      <c r="BH17" s="24"/>
      <c r="BI17" s="25"/>
      <c r="BJ17" s="265"/>
      <c r="BK17" s="278"/>
      <c r="BL17" s="23"/>
      <c r="BM17" s="93"/>
      <c r="BN17" s="104"/>
      <c r="BO17" s="265"/>
      <c r="BP17" s="278"/>
      <c r="BQ17" s="34"/>
      <c r="BR17" s="35"/>
      <c r="BS17" s="99"/>
      <c r="BT17" s="263"/>
      <c r="BU17" s="278"/>
      <c r="BV17" s="34"/>
      <c r="BW17" s="35"/>
      <c r="BX17" s="104"/>
      <c r="BY17" s="263"/>
      <c r="BZ17" s="278">
        <f>370190.5+217775+204429.5+397726</f>
        <v>1190121</v>
      </c>
      <c r="CA17" s="23">
        <v>2689399.46</v>
      </c>
      <c r="CB17" s="24">
        <v>1889399.46</v>
      </c>
      <c r="CC17" s="104"/>
      <c r="CD17" s="265"/>
      <c r="CE17" s="278"/>
      <c r="CF17" s="23"/>
      <c r="CG17" s="24"/>
      <c r="CH17" s="104"/>
      <c r="CI17" s="265"/>
      <c r="CJ17" s="278"/>
      <c r="CK17" s="23"/>
      <c r="CL17" s="24"/>
      <c r="CM17" s="104"/>
      <c r="CN17" s="265"/>
      <c r="CO17" s="278"/>
      <c r="CP17" s="23"/>
      <c r="CQ17" s="171"/>
      <c r="CR17" s="104"/>
      <c r="CS17" s="263"/>
      <c r="CT17" s="278"/>
      <c r="CU17" s="430"/>
      <c r="CV17" s="431"/>
      <c r="CW17" s="431"/>
      <c r="CX17" s="432"/>
      <c r="CY17" s="23"/>
      <c r="CZ17" s="171"/>
      <c r="DA17" s="171"/>
      <c r="DB17" s="172"/>
      <c r="DC17" s="433"/>
      <c r="DD17" s="65"/>
      <c r="DE17" s="65"/>
      <c r="DF17" s="434"/>
    </row>
    <row r="18" spans="1:110" x14ac:dyDescent="0.25">
      <c r="A18" s="5" t="s">
        <v>21</v>
      </c>
      <c r="B18" s="6">
        <v>13</v>
      </c>
      <c r="C18" s="456">
        <v>1122455</v>
      </c>
      <c r="D18" s="83">
        <f>'Qrtrly Cash Balances'!C15</f>
        <v>5004319.8099999996</v>
      </c>
      <c r="E18" s="35">
        <f>RUTF!$D16</f>
        <v>341140.96</v>
      </c>
      <c r="F18" s="401">
        <f>RUTF!$E16</f>
        <v>374186.58</v>
      </c>
      <c r="G18" s="406">
        <f>RUTF!$F16</f>
        <v>0</v>
      </c>
      <c r="H18" s="155">
        <f>RUTF!$G16</f>
        <v>0</v>
      </c>
      <c r="I18" s="156">
        <f>Federal!$F15+Federal!$J15+Federal!$N15+Federal!$R15</f>
        <v>342785.97</v>
      </c>
      <c r="J18" s="155">
        <f>'Co Contrib'!C15+'Co Contrib'!D15+'Co Contrib'!E15+'Co Contrib'!F15+'Other Rev'!E15+'Other Rev'!H15+'Other Rev'!K15+'Other Rev'!N15</f>
        <v>0</v>
      </c>
      <c r="K18" s="149">
        <f>-1*(Expenditures!H15+Expenditures!N15+Expenditures!T15+Expenditures!Z15)</f>
        <v>-359874.1</v>
      </c>
      <c r="L18" s="74">
        <f>'Qrtrly Obligations'!U14</f>
        <v>-32467.97</v>
      </c>
      <c r="M18" s="246">
        <f t="shared" si="3"/>
        <v>0</v>
      </c>
      <c r="N18" s="248">
        <f t="shared" si="4"/>
        <v>0</v>
      </c>
      <c r="O18" s="54">
        <f t="shared" si="5"/>
        <v>0</v>
      </c>
      <c r="P18" s="255">
        <f t="shared" si="6"/>
        <v>594238.19999999995</v>
      </c>
      <c r="Q18" s="246">
        <f t="shared" si="7"/>
        <v>0</v>
      </c>
      <c r="R18" s="248">
        <f t="shared" si="8"/>
        <v>0</v>
      </c>
      <c r="S18" s="54">
        <f t="shared" si="9"/>
        <v>0</v>
      </c>
      <c r="T18" s="255">
        <f t="shared" si="10"/>
        <v>0</v>
      </c>
      <c r="U18" s="246">
        <f t="shared" si="11"/>
        <v>0</v>
      </c>
      <c r="V18" s="248">
        <f t="shared" si="12"/>
        <v>0</v>
      </c>
      <c r="W18" s="54">
        <f t="shared" si="13"/>
        <v>0</v>
      </c>
      <c r="X18" s="255">
        <f t="shared" si="14"/>
        <v>0</v>
      </c>
      <c r="Y18" s="246">
        <f t="shared" si="15"/>
        <v>0</v>
      </c>
      <c r="Z18" s="248">
        <f t="shared" si="16"/>
        <v>0</v>
      </c>
      <c r="AA18" s="54">
        <f t="shared" si="17"/>
        <v>0</v>
      </c>
      <c r="AB18" s="255">
        <f t="shared" si="18"/>
        <v>594238.19999999995</v>
      </c>
      <c r="AC18" s="246">
        <f t="shared" si="19"/>
        <v>0</v>
      </c>
      <c r="AD18" s="248">
        <f t="shared" si="20"/>
        <v>0</v>
      </c>
      <c r="AE18" s="54">
        <f t="shared" si="21"/>
        <v>0</v>
      </c>
      <c r="AF18" s="255">
        <f t="shared" si="22"/>
        <v>0</v>
      </c>
      <c r="AG18" s="83">
        <f t="shared" si="23"/>
        <v>5702559.2199999997</v>
      </c>
      <c r="AH18" s="146">
        <f t="shared" si="24"/>
        <v>5670091.25</v>
      </c>
      <c r="AI18" s="181">
        <f t="shared" si="25"/>
        <v>5075853.05</v>
      </c>
      <c r="AJ18" s="182">
        <f t="shared" si="0"/>
        <v>4.5220993714670072</v>
      </c>
      <c r="AK18" s="183">
        <f t="shared" si="1"/>
        <v>8443218.0500000007</v>
      </c>
      <c r="AL18" s="7">
        <f t="shared" si="2"/>
        <v>10688128.050000001</v>
      </c>
      <c r="AM18" s="34"/>
      <c r="AN18" s="24"/>
      <c r="AO18" s="99"/>
      <c r="AP18" s="265"/>
      <c r="AQ18" s="278"/>
      <c r="AR18" s="23"/>
      <c r="AS18" s="24"/>
      <c r="AT18" s="104"/>
      <c r="AU18" s="265"/>
      <c r="AV18" s="278"/>
      <c r="AW18" s="23"/>
      <c r="AX18" s="24"/>
      <c r="AY18" s="104"/>
      <c r="AZ18" s="265"/>
      <c r="BA18" s="278"/>
      <c r="BB18" s="23"/>
      <c r="BC18" s="24"/>
      <c r="BD18" s="25"/>
      <c r="BE18" s="265"/>
      <c r="BF18" s="278"/>
      <c r="BG18" s="23"/>
      <c r="BH18" s="24"/>
      <c r="BI18" s="25"/>
      <c r="BJ18" s="265"/>
      <c r="BK18" s="278"/>
      <c r="BL18" s="34"/>
      <c r="BM18" s="94"/>
      <c r="BN18" s="104"/>
      <c r="BO18" s="265"/>
      <c r="BP18" s="278"/>
      <c r="BQ18" s="34"/>
      <c r="BR18" s="35"/>
      <c r="BS18" s="99"/>
      <c r="BT18" s="263"/>
      <c r="BU18" s="278"/>
      <c r="BV18" s="23"/>
      <c r="BW18" s="24"/>
      <c r="BX18" s="104"/>
      <c r="BY18" s="263"/>
      <c r="BZ18" s="278"/>
      <c r="CA18" s="23"/>
      <c r="CB18" s="24"/>
      <c r="CC18" s="104"/>
      <c r="CD18" s="265"/>
      <c r="CE18" s="278">
        <v>594238.19999999995</v>
      </c>
      <c r="CF18" s="23"/>
      <c r="CG18" s="24"/>
      <c r="CH18" s="104"/>
      <c r="CI18" s="265"/>
      <c r="CJ18" s="278"/>
      <c r="CK18" s="34"/>
      <c r="CL18" s="93"/>
      <c r="CM18" s="270"/>
      <c r="CN18" s="265"/>
      <c r="CO18" s="278"/>
      <c r="CP18" s="23"/>
      <c r="CQ18" s="171"/>
      <c r="CR18" s="104"/>
      <c r="CS18" s="263"/>
      <c r="CT18" s="278"/>
      <c r="CU18" s="430"/>
      <c r="CV18" s="431"/>
      <c r="CW18" s="431"/>
      <c r="CX18" s="432"/>
      <c r="CY18" s="23"/>
      <c r="CZ18" s="171"/>
      <c r="DA18" s="171"/>
      <c r="DB18" s="172"/>
      <c r="DC18" s="433"/>
      <c r="DD18" s="65"/>
      <c r="DE18" s="65"/>
      <c r="DF18" s="434"/>
    </row>
    <row r="19" spans="1:110" x14ac:dyDescent="0.25">
      <c r="A19" s="5" t="s">
        <v>22</v>
      </c>
      <c r="B19" s="6">
        <v>14</v>
      </c>
      <c r="C19" s="456">
        <v>1266825</v>
      </c>
      <c r="D19" s="83">
        <f>'Qrtrly Cash Balances'!C16</f>
        <v>1099780.3999999999</v>
      </c>
      <c r="E19" s="35">
        <f>RUTF!$D17</f>
        <v>385018.16</v>
      </c>
      <c r="F19" s="401">
        <f>RUTF!$E17</f>
        <v>422314.08</v>
      </c>
      <c r="G19" s="406">
        <f>RUTF!$F17</f>
        <v>0</v>
      </c>
      <c r="H19" s="155">
        <f>RUTF!$G17</f>
        <v>0</v>
      </c>
      <c r="I19" s="156">
        <f>Federal!$F16+Federal!$J16+Federal!$N16+Federal!$R16</f>
        <v>0</v>
      </c>
      <c r="J19" s="155">
        <f>'Co Contrib'!C16+'Co Contrib'!D16+'Co Contrib'!E16+'Co Contrib'!F16+'Other Rev'!E16+'Other Rev'!H16+'Other Rev'!K16+'Other Rev'!N16</f>
        <v>0</v>
      </c>
      <c r="K19" s="149">
        <f>-1*(Expenditures!H16+Expenditures!N16+Expenditures!T16+Expenditures!Z16)</f>
        <v>0</v>
      </c>
      <c r="L19" s="74">
        <f>'Qrtrly Obligations'!U15</f>
        <v>0</v>
      </c>
      <c r="M19" s="246">
        <f t="shared" si="3"/>
        <v>2486668.66</v>
      </c>
      <c r="N19" s="248">
        <f t="shared" si="4"/>
        <v>0</v>
      </c>
      <c r="O19" s="54">
        <f t="shared" si="5"/>
        <v>2486668.66</v>
      </c>
      <c r="P19" s="255">
        <f t="shared" si="6"/>
        <v>0</v>
      </c>
      <c r="Q19" s="246">
        <f t="shared" si="7"/>
        <v>0</v>
      </c>
      <c r="R19" s="248">
        <f t="shared" si="8"/>
        <v>0</v>
      </c>
      <c r="S19" s="54">
        <f t="shared" si="9"/>
        <v>0</v>
      </c>
      <c r="T19" s="255">
        <f t="shared" si="10"/>
        <v>0</v>
      </c>
      <c r="U19" s="246">
        <f t="shared" si="11"/>
        <v>0</v>
      </c>
      <c r="V19" s="248">
        <f t="shared" si="12"/>
        <v>0</v>
      </c>
      <c r="W19" s="54">
        <f t="shared" si="13"/>
        <v>0</v>
      </c>
      <c r="X19" s="255">
        <f t="shared" si="14"/>
        <v>0</v>
      </c>
      <c r="Y19" s="246">
        <f t="shared" si="15"/>
        <v>2486668.66</v>
      </c>
      <c r="Z19" s="248">
        <f t="shared" si="16"/>
        <v>0</v>
      </c>
      <c r="AA19" s="54">
        <f t="shared" si="17"/>
        <v>2486668.66</v>
      </c>
      <c r="AB19" s="255">
        <f t="shared" si="18"/>
        <v>0</v>
      </c>
      <c r="AC19" s="246">
        <f t="shared" si="19"/>
        <v>0</v>
      </c>
      <c r="AD19" s="248">
        <f t="shared" si="20"/>
        <v>0</v>
      </c>
      <c r="AE19" s="54">
        <f t="shared" si="21"/>
        <v>0</v>
      </c>
      <c r="AF19" s="255">
        <f t="shared" si="22"/>
        <v>0</v>
      </c>
      <c r="AG19" s="83">
        <f t="shared" si="23"/>
        <v>1907112.64</v>
      </c>
      <c r="AH19" s="146">
        <f t="shared" si="24"/>
        <v>1907112.64</v>
      </c>
      <c r="AI19" s="181">
        <f t="shared" si="25"/>
        <v>-579556.02000000025</v>
      </c>
      <c r="AJ19" s="182">
        <f t="shared" si="0"/>
        <v>-0.45748704043573518</v>
      </c>
      <c r="AK19" s="183">
        <f t="shared" si="1"/>
        <v>3220918.9799999995</v>
      </c>
      <c r="AL19" s="7">
        <f t="shared" si="2"/>
        <v>5754568.9799999995</v>
      </c>
      <c r="AM19" s="23"/>
      <c r="AN19" s="24"/>
      <c r="AO19" s="104"/>
      <c r="AP19" s="265"/>
      <c r="AQ19" s="278"/>
      <c r="AR19" s="23"/>
      <c r="AS19" s="24"/>
      <c r="AT19" s="104"/>
      <c r="AU19" s="265"/>
      <c r="AV19" s="278"/>
      <c r="AW19" s="23"/>
      <c r="AX19" s="24"/>
      <c r="AY19" s="104"/>
      <c r="AZ19" s="265"/>
      <c r="BA19" s="278"/>
      <c r="BB19" s="23"/>
      <c r="BC19" s="24"/>
      <c r="BD19" s="25"/>
      <c r="BE19" s="265"/>
      <c r="BF19" s="278"/>
      <c r="BG19" s="34"/>
      <c r="BH19" s="35"/>
      <c r="BI19" s="25"/>
      <c r="BJ19" s="265"/>
      <c r="BK19" s="278"/>
      <c r="BL19" s="34"/>
      <c r="BM19" s="94"/>
      <c r="BN19" s="104"/>
      <c r="BO19" s="265"/>
      <c r="BP19" s="278"/>
      <c r="BQ19" s="34"/>
      <c r="BR19" s="35"/>
      <c r="BS19" s="99"/>
      <c r="BT19" s="263"/>
      <c r="BU19" s="278"/>
      <c r="BV19" s="34">
        <f>636709.97+1849958.69</f>
        <v>2486668.66</v>
      </c>
      <c r="BW19" s="24"/>
      <c r="BX19" s="99">
        <f>636709.97+1849958.69</f>
        <v>2486668.66</v>
      </c>
      <c r="BY19" s="263"/>
      <c r="BZ19" s="278"/>
      <c r="CA19" s="23"/>
      <c r="CB19" s="24"/>
      <c r="CC19" s="104"/>
      <c r="CD19" s="265"/>
      <c r="CE19" s="278"/>
      <c r="CF19" s="23"/>
      <c r="CG19" s="24"/>
      <c r="CH19" s="104"/>
      <c r="CI19" s="265"/>
      <c r="CJ19" s="278"/>
      <c r="CK19" s="23"/>
      <c r="CL19" s="24"/>
      <c r="CM19" s="104"/>
      <c r="CN19" s="265"/>
      <c r="CO19" s="278"/>
      <c r="CP19" s="23"/>
      <c r="CQ19" s="171"/>
      <c r="CR19" s="104"/>
      <c r="CS19" s="263"/>
      <c r="CT19" s="278"/>
      <c r="CU19" s="430"/>
      <c r="CV19" s="431"/>
      <c r="CW19" s="431"/>
      <c r="CX19" s="432"/>
      <c r="CY19" s="23"/>
      <c r="CZ19" s="171"/>
      <c r="DA19" s="171"/>
      <c r="DB19" s="172"/>
      <c r="DC19" s="433"/>
      <c r="DD19" s="65"/>
      <c r="DE19" s="65"/>
      <c r="DF19" s="434"/>
    </row>
    <row r="20" spans="1:110" s="32" customFormat="1" ht="15" customHeight="1" x14ac:dyDescent="0.25">
      <c r="A20" s="9" t="s">
        <v>23</v>
      </c>
      <c r="B20" s="17">
        <v>15</v>
      </c>
      <c r="C20" s="457">
        <v>979351</v>
      </c>
      <c r="D20" s="84">
        <f>'Qrtrly Cash Balances'!C17</f>
        <v>4206155.68</v>
      </c>
      <c r="E20" s="33">
        <f>RUTF!$D18</f>
        <v>297647.96000000002</v>
      </c>
      <c r="F20" s="402">
        <f>RUTF!$E18</f>
        <v>326480.51</v>
      </c>
      <c r="G20" s="162">
        <f>RUTF!$F18</f>
        <v>0</v>
      </c>
      <c r="H20" s="161">
        <f>RUTF!$G18</f>
        <v>0</v>
      </c>
      <c r="I20" s="162">
        <f>Federal!$F17+Federal!$J17+Federal!$N17+Federal!$R17</f>
        <v>0</v>
      </c>
      <c r="J20" s="161">
        <f>'Co Contrib'!C17+'Co Contrib'!D17+'Co Contrib'!E17+'Co Contrib'!F17+'Other Rev'!E17+'Other Rev'!H17+'Other Rev'!K17+'Other Rev'!N17</f>
        <v>0</v>
      </c>
      <c r="K20" s="152">
        <f>-1*(Expenditures!H17+Expenditures!N17+Expenditures!T17+Expenditures!Z17)</f>
        <v>-12522.5</v>
      </c>
      <c r="L20" s="56">
        <f>'Qrtrly Obligations'!U16</f>
        <v>-65574.16</v>
      </c>
      <c r="M20" s="249">
        <f t="shared" si="3"/>
        <v>3477819.38</v>
      </c>
      <c r="N20" s="250">
        <f t="shared" si="4"/>
        <v>0</v>
      </c>
      <c r="O20" s="253">
        <f t="shared" si="5"/>
        <v>3477819.38</v>
      </c>
      <c r="P20" s="256">
        <f t="shared" si="6"/>
        <v>632717.75</v>
      </c>
      <c r="Q20" s="249">
        <f t="shared" si="7"/>
        <v>0</v>
      </c>
      <c r="R20" s="250">
        <f t="shared" si="8"/>
        <v>0</v>
      </c>
      <c r="S20" s="253">
        <f t="shared" si="9"/>
        <v>0</v>
      </c>
      <c r="T20" s="256">
        <f t="shared" si="10"/>
        <v>0</v>
      </c>
      <c r="U20" s="249">
        <f t="shared" si="11"/>
        <v>0</v>
      </c>
      <c r="V20" s="250">
        <f t="shared" si="12"/>
        <v>0</v>
      </c>
      <c r="W20" s="253">
        <f t="shared" si="13"/>
        <v>0</v>
      </c>
      <c r="X20" s="256">
        <f t="shared" si="14"/>
        <v>0</v>
      </c>
      <c r="Y20" s="249">
        <f t="shared" si="15"/>
        <v>3477819.38</v>
      </c>
      <c r="Z20" s="250">
        <f t="shared" si="16"/>
        <v>0</v>
      </c>
      <c r="AA20" s="253">
        <f t="shared" si="17"/>
        <v>3477819.38</v>
      </c>
      <c r="AB20" s="256">
        <f t="shared" si="18"/>
        <v>632717.75</v>
      </c>
      <c r="AC20" s="249">
        <f t="shared" si="19"/>
        <v>0</v>
      </c>
      <c r="AD20" s="250">
        <f t="shared" si="20"/>
        <v>0</v>
      </c>
      <c r="AE20" s="253">
        <f t="shared" si="21"/>
        <v>0</v>
      </c>
      <c r="AF20" s="256">
        <f t="shared" si="22"/>
        <v>0</v>
      </c>
      <c r="AG20" s="84">
        <f t="shared" si="23"/>
        <v>4817761.6499999994</v>
      </c>
      <c r="AH20" s="147">
        <f t="shared" si="24"/>
        <v>4752187.4899999993</v>
      </c>
      <c r="AI20" s="184">
        <f t="shared" si="25"/>
        <v>641650.3599999994</v>
      </c>
      <c r="AJ20" s="185">
        <f t="shared" si="0"/>
        <v>0.65517915435834484</v>
      </c>
      <c r="AK20" s="183">
        <f t="shared" si="1"/>
        <v>3579703.3599999994</v>
      </c>
      <c r="AL20" s="18">
        <f t="shared" si="2"/>
        <v>5538405.3599999994</v>
      </c>
      <c r="AM20" s="37"/>
      <c r="AN20" s="33"/>
      <c r="AO20" s="260"/>
      <c r="AP20" s="267"/>
      <c r="AQ20" s="174"/>
      <c r="AR20" s="26"/>
      <c r="AS20" s="27"/>
      <c r="AT20" s="269"/>
      <c r="AU20" s="267"/>
      <c r="AV20" s="174"/>
      <c r="AW20" s="37"/>
      <c r="AX20" s="33"/>
      <c r="AY20" s="269"/>
      <c r="AZ20" s="267"/>
      <c r="BA20" s="174"/>
      <c r="BB20" s="37"/>
      <c r="BC20" s="33"/>
      <c r="BD20" s="28"/>
      <c r="BE20" s="267"/>
      <c r="BF20" s="174"/>
      <c r="BG20" s="26"/>
      <c r="BH20" s="27"/>
      <c r="BI20" s="28"/>
      <c r="BJ20" s="267"/>
      <c r="BK20" s="174"/>
      <c r="BL20" s="26"/>
      <c r="BM20" s="173"/>
      <c r="BN20" s="269"/>
      <c r="BO20" s="267"/>
      <c r="BP20" s="174"/>
      <c r="BQ20" s="37">
        <v>3477819.38</v>
      </c>
      <c r="BR20" s="33"/>
      <c r="BS20" s="260">
        <v>3477819.38</v>
      </c>
      <c r="BT20" s="264"/>
      <c r="BU20" s="174">
        <v>632717.75</v>
      </c>
      <c r="BV20" s="26"/>
      <c r="BW20" s="27"/>
      <c r="BX20" s="269"/>
      <c r="BY20" s="264"/>
      <c r="BZ20" s="174"/>
      <c r="CA20" s="26"/>
      <c r="CB20" s="27"/>
      <c r="CC20" s="269"/>
      <c r="CD20" s="267"/>
      <c r="CE20" s="174"/>
      <c r="CF20" s="26"/>
      <c r="CG20" s="27"/>
      <c r="CH20" s="269"/>
      <c r="CI20" s="267"/>
      <c r="CJ20" s="174"/>
      <c r="CK20" s="26"/>
      <c r="CL20" s="27"/>
      <c r="CM20" s="269"/>
      <c r="CN20" s="267"/>
      <c r="CO20" s="174"/>
      <c r="CP20" s="26"/>
      <c r="CQ20" s="173"/>
      <c r="CR20" s="269"/>
      <c r="CS20" s="264"/>
      <c r="CT20" s="174"/>
      <c r="CU20" s="437"/>
      <c r="CV20" s="438"/>
      <c r="CW20" s="438"/>
      <c r="CX20" s="439"/>
      <c r="CY20" s="26"/>
      <c r="CZ20" s="173"/>
      <c r="DA20" s="173"/>
      <c r="DB20" s="174"/>
      <c r="DC20" s="433"/>
      <c r="DD20" s="435"/>
      <c r="DE20" s="435"/>
      <c r="DF20" s="436"/>
    </row>
    <row r="21" spans="1:110" x14ac:dyDescent="0.25">
      <c r="A21" s="5" t="s">
        <v>24</v>
      </c>
      <c r="B21" s="6">
        <v>16</v>
      </c>
      <c r="C21" s="456">
        <v>1395686</v>
      </c>
      <c r="D21" s="83">
        <f>'Qrtrly Cash Balances'!C18</f>
        <v>245014.16</v>
      </c>
      <c r="E21" s="35">
        <f>RUTF!$D19</f>
        <v>424182.3</v>
      </c>
      <c r="F21" s="401">
        <f>RUTF!$E19</f>
        <v>465271.96</v>
      </c>
      <c r="G21" s="406">
        <f>RUTF!$F19</f>
        <v>0</v>
      </c>
      <c r="H21" s="155">
        <f>RUTF!$G19</f>
        <v>0</v>
      </c>
      <c r="I21" s="156">
        <f>Federal!$F18+Federal!$J18+Federal!$N18+Federal!$R18</f>
        <v>1275739.6399999999</v>
      </c>
      <c r="J21" s="155">
        <f>'Co Contrib'!C18+'Co Contrib'!D18+'Co Contrib'!E18+'Co Contrib'!F18+'Other Rev'!E18+'Other Rev'!H18+'Other Rev'!K18+'Other Rev'!N18</f>
        <v>0</v>
      </c>
      <c r="K21" s="149">
        <f>-1*(Expenditures!H18+Expenditures!N18+Expenditures!T18+Expenditures!Z18)</f>
        <v>-2549829.19</v>
      </c>
      <c r="L21" s="287">
        <f>'Qrtrly Obligations'!U17</f>
        <v>-234069.09</v>
      </c>
      <c r="M21" s="246">
        <f t="shared" si="3"/>
        <v>0</v>
      </c>
      <c r="N21" s="248">
        <f t="shared" si="4"/>
        <v>0</v>
      </c>
      <c r="O21" s="54">
        <f t="shared" si="5"/>
        <v>0</v>
      </c>
      <c r="P21" s="255">
        <f t="shared" si="6"/>
        <v>0</v>
      </c>
      <c r="Q21" s="246">
        <f t="shared" si="7"/>
        <v>0</v>
      </c>
      <c r="R21" s="248">
        <f t="shared" si="8"/>
        <v>0</v>
      </c>
      <c r="S21" s="54">
        <f t="shared" si="9"/>
        <v>0</v>
      </c>
      <c r="T21" s="255">
        <f t="shared" si="10"/>
        <v>0</v>
      </c>
      <c r="U21" s="246">
        <f t="shared" si="11"/>
        <v>0</v>
      </c>
      <c r="V21" s="248">
        <f t="shared" si="12"/>
        <v>0</v>
      </c>
      <c r="W21" s="54">
        <f t="shared" si="13"/>
        <v>0</v>
      </c>
      <c r="X21" s="255">
        <f t="shared" si="14"/>
        <v>0</v>
      </c>
      <c r="Y21" s="246">
        <f t="shared" si="15"/>
        <v>0</v>
      </c>
      <c r="Z21" s="248">
        <f t="shared" si="16"/>
        <v>0</v>
      </c>
      <c r="AA21" s="54">
        <f t="shared" si="17"/>
        <v>0</v>
      </c>
      <c r="AB21" s="255">
        <f t="shared" si="18"/>
        <v>0</v>
      </c>
      <c r="AC21" s="246">
        <f t="shared" si="19"/>
        <v>0</v>
      </c>
      <c r="AD21" s="248">
        <f t="shared" si="20"/>
        <v>0</v>
      </c>
      <c r="AE21" s="54">
        <f t="shared" si="21"/>
        <v>0</v>
      </c>
      <c r="AF21" s="255">
        <f t="shared" si="22"/>
        <v>0</v>
      </c>
      <c r="AG21" s="83">
        <f t="shared" si="23"/>
        <v>-139621.13000000035</v>
      </c>
      <c r="AH21" s="146">
        <f t="shared" si="24"/>
        <v>-373690.22000000032</v>
      </c>
      <c r="AI21" s="181">
        <f t="shared" si="25"/>
        <v>-373690.22000000032</v>
      </c>
      <c r="AJ21" s="182">
        <f t="shared" si="0"/>
        <v>-0.26774662782316389</v>
      </c>
      <c r="AK21" s="186">
        <f t="shared" si="1"/>
        <v>3813367.78</v>
      </c>
      <c r="AL21" s="7">
        <f t="shared" si="2"/>
        <v>6604739.7799999993</v>
      </c>
      <c r="AM21" s="23"/>
      <c r="AN21" s="24"/>
      <c r="AO21" s="104"/>
      <c r="AP21" s="265"/>
      <c r="AQ21" s="278"/>
      <c r="AR21" s="23"/>
      <c r="AS21" s="24"/>
      <c r="AT21" s="104"/>
      <c r="AU21" s="265"/>
      <c r="AV21" s="278"/>
      <c r="AW21" s="23"/>
      <c r="AX21" s="24"/>
      <c r="AY21" s="104"/>
      <c r="AZ21" s="265"/>
      <c r="BA21" s="278"/>
      <c r="BB21" s="23"/>
      <c r="BC21" s="24"/>
      <c r="BD21" s="25"/>
      <c r="BE21" s="265"/>
      <c r="BF21" s="278"/>
      <c r="BG21" s="34"/>
      <c r="BH21" s="35"/>
      <c r="BI21" s="25"/>
      <c r="BJ21" s="265"/>
      <c r="BK21" s="278"/>
      <c r="BL21" s="34"/>
      <c r="BM21" s="94"/>
      <c r="BN21" s="104"/>
      <c r="BO21" s="265"/>
      <c r="BP21" s="278"/>
      <c r="BQ21" s="34"/>
      <c r="BR21" s="35"/>
      <c r="BS21" s="99"/>
      <c r="BT21" s="263"/>
      <c r="BU21" s="278"/>
      <c r="BV21" s="23"/>
      <c r="BW21" s="24"/>
      <c r="BX21" s="104"/>
      <c r="BY21" s="263"/>
      <c r="BZ21" s="278"/>
      <c r="CA21" s="23"/>
      <c r="CB21" s="24"/>
      <c r="CC21" s="104"/>
      <c r="CD21" s="265"/>
      <c r="CE21" s="278"/>
      <c r="CF21" s="34"/>
      <c r="CG21" s="24"/>
      <c r="CH21" s="99"/>
      <c r="CI21" s="265"/>
      <c r="CJ21" s="278"/>
      <c r="CK21" s="34"/>
      <c r="CL21" s="24"/>
      <c r="CM21" s="99"/>
      <c r="CN21" s="265"/>
      <c r="CO21" s="278"/>
      <c r="CP21" s="23"/>
      <c r="CQ21" s="171"/>
      <c r="CR21" s="104"/>
      <c r="CS21" s="263"/>
      <c r="CT21" s="278"/>
      <c r="CU21" s="430"/>
      <c r="CV21" s="431"/>
      <c r="CW21" s="431"/>
      <c r="CX21" s="432"/>
      <c r="CY21" s="23"/>
      <c r="CZ21" s="171"/>
      <c r="DA21" s="171"/>
      <c r="DB21" s="172"/>
      <c r="DC21" s="433"/>
      <c r="DD21" s="65"/>
      <c r="DE21" s="65"/>
      <c r="DF21" s="434"/>
    </row>
    <row r="22" spans="1:110" x14ac:dyDescent="0.25">
      <c r="A22" s="5" t="s">
        <v>25</v>
      </c>
      <c r="B22" s="6">
        <v>17</v>
      </c>
      <c r="C22" s="456">
        <v>1335012</v>
      </c>
      <c r="D22" s="83">
        <f>'Qrtrly Cash Balances'!C19</f>
        <v>-779425.1</v>
      </c>
      <c r="E22" s="35">
        <f>RUTF!$D20</f>
        <v>405741.93</v>
      </c>
      <c r="F22" s="401">
        <f>RUTF!$E20</f>
        <v>445045.32</v>
      </c>
      <c r="G22" s="406">
        <f>RUTF!$F20</f>
        <v>0</v>
      </c>
      <c r="H22" s="155">
        <f>RUTF!$G20</f>
        <v>0</v>
      </c>
      <c r="I22" s="156">
        <f>Federal!$F19+Federal!$J19+Federal!$N19+Federal!$R19</f>
        <v>0</v>
      </c>
      <c r="J22" s="155">
        <f>'Co Contrib'!C19+'Co Contrib'!D19+'Co Contrib'!E19+'Co Contrib'!F19+'Other Rev'!E19+'Other Rev'!H19+'Other Rev'!K19+'Other Rev'!N19</f>
        <v>0</v>
      </c>
      <c r="K22" s="149">
        <f>-1*(Expenditures!H19+Expenditures!N19+Expenditures!T19+Expenditures!Z19)</f>
        <v>-2092929.02</v>
      </c>
      <c r="L22" s="91">
        <f>'Qrtrly Obligations'!U18</f>
        <v>-41829.57</v>
      </c>
      <c r="M22" s="246">
        <f t="shared" si="3"/>
        <v>0</v>
      </c>
      <c r="N22" s="248">
        <f t="shared" si="4"/>
        <v>0</v>
      </c>
      <c r="O22" s="54">
        <f t="shared" si="5"/>
        <v>0</v>
      </c>
      <c r="P22" s="255">
        <f t="shared" si="6"/>
        <v>0</v>
      </c>
      <c r="Q22" s="246">
        <f t="shared" si="7"/>
        <v>0</v>
      </c>
      <c r="R22" s="248">
        <f t="shared" si="8"/>
        <v>0</v>
      </c>
      <c r="S22" s="54">
        <f t="shared" si="9"/>
        <v>0</v>
      </c>
      <c r="T22" s="255">
        <f t="shared" si="10"/>
        <v>0</v>
      </c>
      <c r="U22" s="246">
        <f t="shared" si="11"/>
        <v>0</v>
      </c>
      <c r="V22" s="248">
        <f t="shared" si="12"/>
        <v>0</v>
      </c>
      <c r="W22" s="54">
        <f t="shared" si="13"/>
        <v>0</v>
      </c>
      <c r="X22" s="255">
        <f t="shared" si="14"/>
        <v>0</v>
      </c>
      <c r="Y22" s="246">
        <f t="shared" si="15"/>
        <v>0</v>
      </c>
      <c r="Z22" s="248">
        <f t="shared" si="16"/>
        <v>0</v>
      </c>
      <c r="AA22" s="54">
        <f t="shared" si="17"/>
        <v>0</v>
      </c>
      <c r="AB22" s="255">
        <f t="shared" si="18"/>
        <v>0</v>
      </c>
      <c r="AC22" s="246">
        <f t="shared" si="19"/>
        <v>0</v>
      </c>
      <c r="AD22" s="248">
        <f t="shared" si="20"/>
        <v>0</v>
      </c>
      <c r="AE22" s="54">
        <f t="shared" si="21"/>
        <v>0</v>
      </c>
      <c r="AF22" s="255">
        <f t="shared" si="22"/>
        <v>0</v>
      </c>
      <c r="AG22" s="83">
        <f t="shared" si="23"/>
        <v>-2021566.87</v>
      </c>
      <c r="AH22" s="146">
        <f t="shared" si="24"/>
        <v>-2063396.4400000002</v>
      </c>
      <c r="AI22" s="181">
        <f t="shared" si="25"/>
        <v>-2063396.4400000002</v>
      </c>
      <c r="AJ22" s="182">
        <f t="shared" si="0"/>
        <v>-1.5456014178149711</v>
      </c>
      <c r="AK22" s="183">
        <f t="shared" si="1"/>
        <v>1941639.5599999998</v>
      </c>
      <c r="AL22" s="7">
        <f t="shared" si="2"/>
        <v>4611663.5599999996</v>
      </c>
      <c r="AM22" s="23"/>
      <c r="AN22" s="24"/>
      <c r="AO22" s="104"/>
      <c r="AP22" s="265"/>
      <c r="AQ22" s="278"/>
      <c r="AR22" s="23"/>
      <c r="AS22" s="24"/>
      <c r="AT22" s="104"/>
      <c r="AU22" s="265"/>
      <c r="AV22" s="278"/>
      <c r="AW22" s="34"/>
      <c r="AX22" s="35"/>
      <c r="AY22" s="104"/>
      <c r="AZ22" s="265"/>
      <c r="BA22" s="278"/>
      <c r="BB22" s="34"/>
      <c r="BC22" s="35"/>
      <c r="BD22" s="25"/>
      <c r="BE22" s="265"/>
      <c r="BF22" s="278"/>
      <c r="BG22" s="23"/>
      <c r="BH22" s="24"/>
      <c r="BI22" s="25"/>
      <c r="BJ22" s="265"/>
      <c r="BK22" s="278"/>
      <c r="BL22" s="34"/>
      <c r="BM22" s="94"/>
      <c r="BN22" s="104"/>
      <c r="BO22" s="265"/>
      <c r="BP22" s="278"/>
      <c r="BQ22" s="34"/>
      <c r="BR22" s="35"/>
      <c r="BS22" s="99"/>
      <c r="BT22" s="263"/>
      <c r="BU22" s="278"/>
      <c r="BV22" s="34"/>
      <c r="BW22" s="35"/>
      <c r="BX22" s="104"/>
      <c r="BY22" s="263"/>
      <c r="BZ22" s="278"/>
      <c r="CA22" s="34"/>
      <c r="CB22" s="35"/>
      <c r="CC22" s="104"/>
      <c r="CD22" s="265"/>
      <c r="CE22" s="278"/>
      <c r="CF22" s="23"/>
      <c r="CG22" s="25"/>
      <c r="CH22" s="104"/>
      <c r="CI22" s="265"/>
      <c r="CJ22" s="278"/>
      <c r="CK22" s="34"/>
      <c r="CL22" s="35"/>
      <c r="CM22" s="99"/>
      <c r="CN22" s="265"/>
      <c r="CO22" s="278"/>
      <c r="CP22" s="23"/>
      <c r="CQ22" s="171"/>
      <c r="CR22" s="104"/>
      <c r="CS22" s="263"/>
      <c r="CT22" s="278"/>
      <c r="CU22" s="430"/>
      <c r="CV22" s="431"/>
      <c r="CW22" s="431"/>
      <c r="CX22" s="432"/>
      <c r="CY22" s="23"/>
      <c r="CZ22" s="171"/>
      <c r="DA22" s="171"/>
      <c r="DB22" s="172"/>
      <c r="DC22" s="433"/>
      <c r="DD22" s="65"/>
      <c r="DE22" s="65"/>
      <c r="DF22" s="434"/>
    </row>
    <row r="23" spans="1:110" x14ac:dyDescent="0.25">
      <c r="A23" s="5" t="s">
        <v>26</v>
      </c>
      <c r="B23" s="6">
        <v>18</v>
      </c>
      <c r="C23" s="456">
        <v>1194999</v>
      </c>
      <c r="D23" s="83">
        <f>'Qrtrly Cash Balances'!C20</f>
        <v>963535.57</v>
      </c>
      <c r="E23" s="35">
        <f>RUTF!$D21</f>
        <v>363188.72</v>
      </c>
      <c r="F23" s="401">
        <f>RUTF!$E21</f>
        <v>398370.07</v>
      </c>
      <c r="G23" s="406">
        <f>RUTF!$F21</f>
        <v>0</v>
      </c>
      <c r="H23" s="155">
        <f>RUTF!$G21</f>
        <v>0</v>
      </c>
      <c r="I23" s="156">
        <f>Federal!$F20+Federal!$J20+Federal!$N20+Federal!$R20</f>
        <v>567613.39</v>
      </c>
      <c r="J23" s="155">
        <f>'Co Contrib'!C20+'Co Contrib'!D20+'Co Contrib'!E20+'Co Contrib'!F20+'Other Rev'!E20+'Other Rev'!H20+'Other Rev'!K20+'Other Rev'!N20</f>
        <v>0</v>
      </c>
      <c r="K23" s="149">
        <f>-1*(Expenditures!H20+Expenditures!N20+Expenditures!T20+Expenditures!Z20)</f>
        <v>-2115082.83</v>
      </c>
      <c r="L23" s="74">
        <f>'Qrtrly Obligations'!U19</f>
        <v>-136126.95000000001</v>
      </c>
      <c r="M23" s="246">
        <f t="shared" si="3"/>
        <v>0</v>
      </c>
      <c r="N23" s="248">
        <f t="shared" si="4"/>
        <v>0</v>
      </c>
      <c r="O23" s="54">
        <f t="shared" si="5"/>
        <v>0</v>
      </c>
      <c r="P23" s="255">
        <f t="shared" si="6"/>
        <v>0</v>
      </c>
      <c r="Q23" s="246">
        <f t="shared" si="7"/>
        <v>0</v>
      </c>
      <c r="R23" s="248">
        <f t="shared" si="8"/>
        <v>0</v>
      </c>
      <c r="S23" s="54">
        <f t="shared" si="9"/>
        <v>0</v>
      </c>
      <c r="T23" s="255">
        <f t="shared" si="10"/>
        <v>0</v>
      </c>
      <c r="U23" s="246">
        <f t="shared" si="11"/>
        <v>0</v>
      </c>
      <c r="V23" s="248">
        <f t="shared" si="12"/>
        <v>0</v>
      </c>
      <c r="W23" s="54">
        <f t="shared" si="13"/>
        <v>0</v>
      </c>
      <c r="X23" s="255">
        <f t="shared" si="14"/>
        <v>0</v>
      </c>
      <c r="Y23" s="246">
        <f t="shared" si="15"/>
        <v>0</v>
      </c>
      <c r="Z23" s="248">
        <f t="shared" si="16"/>
        <v>0</v>
      </c>
      <c r="AA23" s="54">
        <f t="shared" si="17"/>
        <v>0</v>
      </c>
      <c r="AB23" s="255">
        <f t="shared" si="18"/>
        <v>0</v>
      </c>
      <c r="AC23" s="246">
        <f t="shared" si="19"/>
        <v>0</v>
      </c>
      <c r="AD23" s="248">
        <f t="shared" si="20"/>
        <v>0</v>
      </c>
      <c r="AE23" s="54">
        <f t="shared" si="21"/>
        <v>0</v>
      </c>
      <c r="AF23" s="255">
        <f t="shared" si="22"/>
        <v>0</v>
      </c>
      <c r="AG23" s="83">
        <f t="shared" si="23"/>
        <v>177624.91999999993</v>
      </c>
      <c r="AH23" s="146">
        <f t="shared" si="24"/>
        <v>41497.969999999914</v>
      </c>
      <c r="AI23" s="181">
        <f t="shared" si="25"/>
        <v>41497.969999999914</v>
      </c>
      <c r="AJ23" s="182">
        <f t="shared" si="0"/>
        <v>3.4726363787752054E-2</v>
      </c>
      <c r="AK23" s="183">
        <f t="shared" si="1"/>
        <v>3626494.9699999997</v>
      </c>
      <c r="AL23" s="7">
        <f t="shared" si="2"/>
        <v>6016492.9699999997</v>
      </c>
      <c r="AM23" s="23"/>
      <c r="AN23" s="24"/>
      <c r="AO23" s="104"/>
      <c r="AP23" s="265"/>
      <c r="AQ23" s="364"/>
      <c r="AR23" s="34"/>
      <c r="AS23" s="35"/>
      <c r="AT23" s="104"/>
      <c r="AU23" s="265"/>
      <c r="AV23" s="364"/>
      <c r="AW23" s="23"/>
      <c r="AX23" s="24"/>
      <c r="AY23" s="104"/>
      <c r="AZ23" s="265"/>
      <c r="BA23" s="364"/>
      <c r="BB23" s="23"/>
      <c r="BC23" s="24"/>
      <c r="BD23" s="25"/>
      <c r="BE23" s="265"/>
      <c r="BF23" s="364"/>
      <c r="BG23" s="23"/>
      <c r="BH23" s="24"/>
      <c r="BI23" s="25"/>
      <c r="BJ23" s="265"/>
      <c r="BK23" s="364"/>
      <c r="BL23" s="34"/>
      <c r="BM23" s="93"/>
      <c r="BN23" s="99"/>
      <c r="BO23" s="265"/>
      <c r="BP23" s="364"/>
      <c r="BQ23" s="34"/>
      <c r="BR23" s="35"/>
      <c r="BS23" s="99"/>
      <c r="BT23" s="263"/>
      <c r="BU23" s="364"/>
      <c r="BV23" s="34"/>
      <c r="BW23" s="35"/>
      <c r="BX23" s="104"/>
      <c r="BY23" s="263"/>
      <c r="BZ23" s="364"/>
      <c r="CA23" s="34"/>
      <c r="CB23" s="68"/>
      <c r="CC23" s="99"/>
      <c r="CD23" s="265"/>
      <c r="CE23" s="364"/>
      <c r="CF23" s="23"/>
      <c r="CG23" s="24"/>
      <c r="CH23" s="104"/>
      <c r="CI23" s="265"/>
      <c r="CJ23" s="364"/>
      <c r="CK23" s="34"/>
      <c r="CL23" s="24"/>
      <c r="CM23" s="99"/>
      <c r="CN23" s="265"/>
      <c r="CO23" s="364"/>
      <c r="CP23" s="23"/>
      <c r="CQ23" s="171"/>
      <c r="CR23" s="104"/>
      <c r="CS23" s="263"/>
      <c r="CT23" s="364"/>
      <c r="CU23" s="430"/>
      <c r="CV23" s="431"/>
      <c r="CW23" s="431"/>
      <c r="CX23" s="432"/>
      <c r="CY23" s="23"/>
      <c r="CZ23" s="171"/>
      <c r="DA23" s="171"/>
      <c r="DB23" s="172"/>
      <c r="DC23" s="433"/>
      <c r="DD23" s="65"/>
      <c r="DE23" s="65"/>
      <c r="DF23" s="434"/>
    </row>
    <row r="24" spans="1:110" x14ac:dyDescent="0.25">
      <c r="A24" s="5" t="s">
        <v>27</v>
      </c>
      <c r="B24" s="6">
        <v>19</v>
      </c>
      <c r="C24" s="456">
        <v>1073954</v>
      </c>
      <c r="D24" s="83">
        <f>'Qrtrly Cash Balances'!C21</f>
        <v>-2246168.36</v>
      </c>
      <c r="E24" s="35">
        <f>RUTF!$D22</f>
        <v>326400.09000000003</v>
      </c>
      <c r="F24" s="401">
        <f>RUTF!$E22</f>
        <v>358017.81</v>
      </c>
      <c r="G24" s="406">
        <f>RUTF!$F22</f>
        <v>0</v>
      </c>
      <c r="H24" s="155">
        <f>RUTF!$G22</f>
        <v>0</v>
      </c>
      <c r="I24" s="156">
        <f>Federal!$F21+Federal!$J21+Federal!$N21+Federal!$R21</f>
        <v>1063963.04</v>
      </c>
      <c r="J24" s="155">
        <f>'Co Contrib'!C21+'Co Contrib'!D21+'Co Contrib'!E21+'Co Contrib'!F21+'Other Rev'!E21+'Other Rev'!H21+'Other Rev'!K21+'Other Rev'!N21</f>
        <v>0</v>
      </c>
      <c r="K24" s="149">
        <f>-1*(Expenditures!H21+Expenditures!N21+Expenditures!T21+Expenditures!Z21)</f>
        <v>-1274576.69</v>
      </c>
      <c r="L24" s="74">
        <f>'Qrtrly Obligations'!U20</f>
        <v>-190540.15</v>
      </c>
      <c r="M24" s="246">
        <f t="shared" si="3"/>
        <v>3500</v>
      </c>
      <c r="N24" s="248">
        <f t="shared" si="4"/>
        <v>0</v>
      </c>
      <c r="O24" s="54">
        <f t="shared" si="5"/>
        <v>3500</v>
      </c>
      <c r="P24" s="255">
        <f t="shared" si="6"/>
        <v>1599694.69</v>
      </c>
      <c r="Q24" s="246">
        <f t="shared" si="7"/>
        <v>3500</v>
      </c>
      <c r="R24" s="248">
        <f t="shared" si="8"/>
        <v>0</v>
      </c>
      <c r="S24" s="54">
        <f t="shared" si="9"/>
        <v>3500</v>
      </c>
      <c r="T24" s="255">
        <f t="shared" si="10"/>
        <v>0</v>
      </c>
      <c r="U24" s="246">
        <f t="shared" si="11"/>
        <v>0</v>
      </c>
      <c r="V24" s="248">
        <f t="shared" si="12"/>
        <v>0</v>
      </c>
      <c r="W24" s="54">
        <f t="shared" si="13"/>
        <v>0</v>
      </c>
      <c r="X24" s="255">
        <f t="shared" si="14"/>
        <v>0</v>
      </c>
      <c r="Y24" s="246">
        <f t="shared" si="15"/>
        <v>0</v>
      </c>
      <c r="Z24" s="248">
        <f t="shared" si="16"/>
        <v>0</v>
      </c>
      <c r="AA24" s="54">
        <f t="shared" si="17"/>
        <v>0</v>
      </c>
      <c r="AB24" s="255">
        <f t="shared" si="18"/>
        <v>1599694.69</v>
      </c>
      <c r="AC24" s="246">
        <f t="shared" si="19"/>
        <v>0</v>
      </c>
      <c r="AD24" s="248">
        <f t="shared" si="20"/>
        <v>0</v>
      </c>
      <c r="AE24" s="54">
        <f t="shared" si="21"/>
        <v>0</v>
      </c>
      <c r="AF24" s="255">
        <f t="shared" si="22"/>
        <v>0</v>
      </c>
      <c r="AG24" s="83">
        <f t="shared" si="23"/>
        <v>-1772364.1099999996</v>
      </c>
      <c r="AH24" s="146">
        <f t="shared" si="24"/>
        <v>-1962904.2599999995</v>
      </c>
      <c r="AI24" s="181">
        <f t="shared" si="25"/>
        <v>-3562598.9499999993</v>
      </c>
      <c r="AJ24" s="182">
        <f t="shared" si="0"/>
        <v>-3.3172733189689683</v>
      </c>
      <c r="AK24" s="183">
        <f t="shared" si="1"/>
        <v>-340736.94999999925</v>
      </c>
      <c r="AL24" s="7">
        <f t="shared" si="2"/>
        <v>1807171.0500000007</v>
      </c>
      <c r="AM24" s="23"/>
      <c r="AN24" s="24"/>
      <c r="AO24" s="104"/>
      <c r="AP24" s="265"/>
      <c r="AQ24" s="278"/>
      <c r="AR24" s="23"/>
      <c r="AS24" s="24"/>
      <c r="AT24" s="104"/>
      <c r="AU24" s="265"/>
      <c r="AV24" s="278"/>
      <c r="AW24" s="34"/>
      <c r="AX24" s="35"/>
      <c r="AY24" s="104"/>
      <c r="AZ24" s="265"/>
      <c r="BA24" s="278"/>
      <c r="BB24" s="34"/>
      <c r="BC24" s="35"/>
      <c r="BD24" s="25"/>
      <c r="BE24" s="265"/>
      <c r="BF24" s="278"/>
      <c r="BG24" s="34"/>
      <c r="BH24" s="35"/>
      <c r="BI24" s="25"/>
      <c r="BJ24" s="265"/>
      <c r="BK24" s="278"/>
      <c r="BL24" s="23"/>
      <c r="BM24" s="93"/>
      <c r="BN24" s="104"/>
      <c r="BO24" s="265"/>
      <c r="BP24" s="278"/>
      <c r="BQ24" s="34"/>
      <c r="BR24" s="35"/>
      <c r="BS24" s="99"/>
      <c r="BT24" s="263"/>
      <c r="BU24" s="278"/>
      <c r="BV24" s="34"/>
      <c r="BW24" s="35"/>
      <c r="BX24" s="99"/>
      <c r="BY24" s="263"/>
      <c r="BZ24" s="278">
        <v>1599694.69</v>
      </c>
      <c r="CA24" s="34"/>
      <c r="CB24" s="24"/>
      <c r="CC24" s="99"/>
      <c r="CD24" s="265"/>
      <c r="CE24" s="278"/>
      <c r="CF24" s="34"/>
      <c r="CG24" s="24"/>
      <c r="CH24" s="99"/>
      <c r="CI24" s="265"/>
      <c r="CJ24" s="278"/>
      <c r="CK24" s="23"/>
      <c r="CL24" s="24"/>
      <c r="CM24" s="104"/>
      <c r="CN24" s="265"/>
      <c r="CO24" s="278"/>
      <c r="CP24" s="23"/>
      <c r="CQ24" s="171"/>
      <c r="CR24" s="104"/>
      <c r="CS24" s="263"/>
      <c r="CT24" s="278"/>
      <c r="CU24" s="430"/>
      <c r="CV24" s="431"/>
      <c r="CW24" s="431"/>
      <c r="CX24" s="432"/>
      <c r="CY24" s="23">
        <v>3500</v>
      </c>
      <c r="CZ24" s="171"/>
      <c r="DA24" s="171"/>
      <c r="DB24" s="172"/>
      <c r="DC24" s="433" t="s">
        <v>340</v>
      </c>
      <c r="DD24" s="65"/>
      <c r="DE24" s="65"/>
      <c r="DF24" s="434"/>
    </row>
    <row r="25" spans="1:110" x14ac:dyDescent="0.25">
      <c r="A25" s="9" t="s">
        <v>28</v>
      </c>
      <c r="B25" s="17">
        <v>20</v>
      </c>
      <c r="C25" s="457">
        <v>787530</v>
      </c>
      <c r="D25" s="84">
        <f>'Qrtrly Cash Balances'!C22</f>
        <v>839712.99</v>
      </c>
      <c r="E25" s="33">
        <f>RUTF!$D23</f>
        <v>239349.05</v>
      </c>
      <c r="F25" s="402">
        <f>RUTF!$E23</f>
        <v>262534.3</v>
      </c>
      <c r="G25" s="160">
        <f>RUTF!$F23</f>
        <v>0</v>
      </c>
      <c r="H25" s="159">
        <f>RUTF!$G23</f>
        <v>0</v>
      </c>
      <c r="I25" s="160">
        <f>Federal!$F22+Federal!$J22+Federal!$N22+Federal!$R22</f>
        <v>594059.37</v>
      </c>
      <c r="J25" s="159">
        <f>'Co Contrib'!C22+'Co Contrib'!D22+'Co Contrib'!E22+'Co Contrib'!F22+'Other Rev'!E22+'Other Rev'!H22+'Other Rev'!K22+'Other Rev'!N22</f>
        <v>0</v>
      </c>
      <c r="K25" s="151">
        <f>-1*(Expenditures!H22+Expenditures!N22+Expenditures!T22+Expenditures!Z22)</f>
        <v>-1095205.96</v>
      </c>
      <c r="L25" s="56">
        <f>'Qrtrly Obligations'!U21</f>
        <v>-444901.25</v>
      </c>
      <c r="M25" s="249">
        <f t="shared" si="3"/>
        <v>0</v>
      </c>
      <c r="N25" s="250">
        <f t="shared" si="4"/>
        <v>0</v>
      </c>
      <c r="O25" s="253">
        <f t="shared" si="5"/>
        <v>0</v>
      </c>
      <c r="P25" s="256">
        <f t="shared" si="6"/>
        <v>868293.75</v>
      </c>
      <c r="Q25" s="249">
        <f t="shared" si="7"/>
        <v>0</v>
      </c>
      <c r="R25" s="250">
        <f t="shared" si="8"/>
        <v>0</v>
      </c>
      <c r="S25" s="253">
        <f t="shared" si="9"/>
        <v>0</v>
      </c>
      <c r="T25" s="256">
        <f t="shared" si="10"/>
        <v>868293.75</v>
      </c>
      <c r="U25" s="249">
        <f t="shared" si="11"/>
        <v>0</v>
      </c>
      <c r="V25" s="250">
        <f t="shared" si="12"/>
        <v>0</v>
      </c>
      <c r="W25" s="253">
        <f t="shared" si="13"/>
        <v>0</v>
      </c>
      <c r="X25" s="256">
        <f t="shared" si="14"/>
        <v>0</v>
      </c>
      <c r="Y25" s="249">
        <f t="shared" si="15"/>
        <v>0</v>
      </c>
      <c r="Z25" s="250">
        <f t="shared" si="16"/>
        <v>0</v>
      </c>
      <c r="AA25" s="253">
        <f t="shared" si="17"/>
        <v>0</v>
      </c>
      <c r="AB25" s="256">
        <f t="shared" si="18"/>
        <v>0</v>
      </c>
      <c r="AC25" s="249">
        <f t="shared" si="19"/>
        <v>0</v>
      </c>
      <c r="AD25" s="250">
        <f t="shared" si="20"/>
        <v>0</v>
      </c>
      <c r="AE25" s="253">
        <f t="shared" si="21"/>
        <v>0</v>
      </c>
      <c r="AF25" s="256">
        <f t="shared" si="22"/>
        <v>0</v>
      </c>
      <c r="AG25" s="84">
        <f t="shared" si="23"/>
        <v>840449.75</v>
      </c>
      <c r="AH25" s="147">
        <f t="shared" si="24"/>
        <v>395548.5</v>
      </c>
      <c r="AI25" s="184">
        <f t="shared" si="25"/>
        <v>395548.5</v>
      </c>
      <c r="AJ25" s="185">
        <f t="shared" si="0"/>
        <v>0.50226467563140453</v>
      </c>
      <c r="AK25" s="183">
        <f t="shared" si="1"/>
        <v>2758138.5</v>
      </c>
      <c r="AL25" s="18">
        <f t="shared" si="2"/>
        <v>4333198.5</v>
      </c>
      <c r="AM25" s="37"/>
      <c r="AN25" s="27"/>
      <c r="AO25" s="260"/>
      <c r="AP25" s="267"/>
      <c r="AQ25" s="174"/>
      <c r="AR25" s="26"/>
      <c r="AS25" s="27"/>
      <c r="AT25" s="269"/>
      <c r="AU25" s="267"/>
      <c r="AV25" s="174">
        <v>868293.75</v>
      </c>
      <c r="AW25" s="26"/>
      <c r="AX25" s="27"/>
      <c r="AY25" s="269"/>
      <c r="AZ25" s="267"/>
      <c r="BA25" s="174"/>
      <c r="BB25" s="26"/>
      <c r="BC25" s="27"/>
      <c r="BD25" s="28"/>
      <c r="BE25" s="267"/>
      <c r="BF25" s="174"/>
      <c r="BG25" s="26"/>
      <c r="BH25" s="27"/>
      <c r="BI25" s="28"/>
      <c r="BJ25" s="267"/>
      <c r="BK25" s="174"/>
      <c r="BL25" s="37"/>
      <c r="BM25" s="365"/>
      <c r="BN25" s="269"/>
      <c r="BO25" s="267"/>
      <c r="BP25" s="174"/>
      <c r="BQ25" s="37"/>
      <c r="BR25" s="33"/>
      <c r="BS25" s="260"/>
      <c r="BT25" s="264"/>
      <c r="BU25" s="174"/>
      <c r="BV25" s="26"/>
      <c r="BW25" s="27"/>
      <c r="BX25" s="269"/>
      <c r="BY25" s="264"/>
      <c r="BZ25" s="174"/>
      <c r="CA25" s="37"/>
      <c r="CB25" s="33"/>
      <c r="CC25" s="260"/>
      <c r="CD25" s="267"/>
      <c r="CE25" s="174"/>
      <c r="CF25" s="37"/>
      <c r="CG25" s="27"/>
      <c r="CH25" s="260"/>
      <c r="CI25" s="267"/>
      <c r="CJ25" s="174"/>
      <c r="CK25" s="37"/>
      <c r="CL25" s="33"/>
      <c r="CM25" s="260"/>
      <c r="CN25" s="267"/>
      <c r="CO25" s="174"/>
      <c r="CP25" s="37"/>
      <c r="CQ25" s="365"/>
      <c r="CR25" s="269"/>
      <c r="CS25" s="264"/>
      <c r="CT25" s="174"/>
      <c r="CU25" s="437"/>
      <c r="CV25" s="438"/>
      <c r="CW25" s="438"/>
      <c r="CX25" s="439"/>
      <c r="CY25" s="26"/>
      <c r="CZ25" s="173"/>
      <c r="DA25" s="173"/>
      <c r="DB25" s="174"/>
      <c r="DC25" s="433"/>
      <c r="DD25" s="65"/>
      <c r="DE25" s="65"/>
      <c r="DF25" s="434"/>
    </row>
    <row r="26" spans="1:110" x14ac:dyDescent="0.25">
      <c r="A26" s="5" t="s">
        <v>29</v>
      </c>
      <c r="B26" s="6">
        <v>21</v>
      </c>
      <c r="C26" s="456">
        <v>1205196</v>
      </c>
      <c r="D26" s="83">
        <f>'Qrtrly Cash Balances'!C23</f>
        <v>-1497733.6</v>
      </c>
      <c r="E26" s="35">
        <f>RUTF!$D24</f>
        <v>366287.76</v>
      </c>
      <c r="F26" s="401">
        <f>RUTF!$E24</f>
        <v>401769.31</v>
      </c>
      <c r="G26" s="406">
        <f>RUTF!$F24</f>
        <v>0</v>
      </c>
      <c r="H26" s="155">
        <f>RUTF!$G24</f>
        <v>0</v>
      </c>
      <c r="I26" s="156">
        <f>Federal!$F23+Federal!$J23+Federal!$N23+Federal!$R23</f>
        <v>0</v>
      </c>
      <c r="J26" s="155">
        <f>'Co Contrib'!C23+'Co Contrib'!D23+'Co Contrib'!E23+'Co Contrib'!F23+'Other Rev'!E23+'Other Rev'!H23+'Other Rev'!K23+'Other Rev'!N23</f>
        <v>7681992.3099999996</v>
      </c>
      <c r="K26" s="149">
        <f>-1*(Expenditures!H23+Expenditures!N23+Expenditures!T23+Expenditures!Z23)</f>
        <v>-234646.88</v>
      </c>
      <c r="L26" s="74">
        <f>'Qrtrly Obligations'!U22</f>
        <v>-3002125.96</v>
      </c>
      <c r="M26" s="246">
        <f t="shared" si="3"/>
        <v>10786151.190000001</v>
      </c>
      <c r="N26" s="248">
        <f t="shared" si="4"/>
        <v>641423.89</v>
      </c>
      <c r="O26" s="54">
        <f t="shared" si="5"/>
        <v>7619031.7300000004</v>
      </c>
      <c r="P26" s="255">
        <f t="shared" si="6"/>
        <v>0</v>
      </c>
      <c r="Q26" s="246">
        <f t="shared" si="7"/>
        <v>3167119.46</v>
      </c>
      <c r="R26" s="248">
        <f t="shared" si="8"/>
        <v>641423.89</v>
      </c>
      <c r="S26" s="54">
        <f t="shared" si="9"/>
        <v>0</v>
      </c>
      <c r="T26" s="255">
        <f t="shared" si="10"/>
        <v>0</v>
      </c>
      <c r="U26" s="246">
        <f t="shared" si="11"/>
        <v>0</v>
      </c>
      <c r="V26" s="248">
        <f t="shared" si="12"/>
        <v>0</v>
      </c>
      <c r="W26" s="54">
        <f t="shared" si="13"/>
        <v>0</v>
      </c>
      <c r="X26" s="255">
        <f t="shared" si="14"/>
        <v>0</v>
      </c>
      <c r="Y26" s="246">
        <f t="shared" si="15"/>
        <v>7619031.7300000004</v>
      </c>
      <c r="Z26" s="248">
        <f t="shared" si="16"/>
        <v>0</v>
      </c>
      <c r="AA26" s="54">
        <f t="shared" si="17"/>
        <v>7619031.7300000004</v>
      </c>
      <c r="AB26" s="255">
        <f t="shared" si="18"/>
        <v>0</v>
      </c>
      <c r="AC26" s="246">
        <f t="shared" si="19"/>
        <v>0</v>
      </c>
      <c r="AD26" s="248">
        <f t="shared" si="20"/>
        <v>0</v>
      </c>
      <c r="AE26" s="54">
        <f t="shared" si="21"/>
        <v>0</v>
      </c>
      <c r="AF26" s="255">
        <f t="shared" si="22"/>
        <v>0</v>
      </c>
      <c r="AG26" s="83">
        <f t="shared" si="23"/>
        <v>6717668.8999999994</v>
      </c>
      <c r="AH26" s="146">
        <f t="shared" si="24"/>
        <v>3715542.9399999995</v>
      </c>
      <c r="AI26" s="181">
        <f t="shared" si="25"/>
        <v>-3903488.790000001</v>
      </c>
      <c r="AJ26" s="182">
        <f t="shared" si="0"/>
        <v>-3.2388829617755128</v>
      </c>
      <c r="AK26" s="186">
        <f t="shared" si="1"/>
        <v>-287900.79000000097</v>
      </c>
      <c r="AL26" s="7">
        <f t="shared" si="2"/>
        <v>2122491.209999999</v>
      </c>
      <c r="AM26" s="23"/>
      <c r="AN26" s="24"/>
      <c r="AO26" s="104"/>
      <c r="AP26" s="265"/>
      <c r="AQ26" s="278"/>
      <c r="AR26" s="23">
        <v>3167119.46</v>
      </c>
      <c r="AS26" s="24">
        <v>641423.89</v>
      </c>
      <c r="AT26" s="104"/>
      <c r="AU26" s="265"/>
      <c r="AV26" s="278"/>
      <c r="AW26" s="23"/>
      <c r="AX26" s="24"/>
      <c r="AY26" s="104"/>
      <c r="AZ26" s="265"/>
      <c r="BA26" s="278"/>
      <c r="BB26" s="23"/>
      <c r="BC26" s="24"/>
      <c r="BD26" s="25"/>
      <c r="BE26" s="265"/>
      <c r="BF26" s="278"/>
      <c r="BG26" s="23"/>
      <c r="BH26" s="24"/>
      <c r="BI26" s="25"/>
      <c r="BJ26" s="265"/>
      <c r="BK26" s="278"/>
      <c r="BL26" s="23"/>
      <c r="BM26" s="93"/>
      <c r="BN26" s="104"/>
      <c r="BO26" s="265"/>
      <c r="BP26" s="278"/>
      <c r="BQ26" s="34">
        <f>3079843.48+4539188.25</f>
        <v>7619031.7300000004</v>
      </c>
      <c r="BR26" s="35"/>
      <c r="BS26" s="99">
        <f>3079843.48+4539188.25</f>
        <v>7619031.7300000004</v>
      </c>
      <c r="BT26" s="263"/>
      <c r="BU26" s="278"/>
      <c r="BV26" s="23"/>
      <c r="BW26" s="35"/>
      <c r="BX26" s="104"/>
      <c r="BY26" s="263"/>
      <c r="BZ26" s="278"/>
      <c r="CA26" s="34"/>
      <c r="CB26" s="35"/>
      <c r="CC26" s="104"/>
      <c r="CD26" s="265"/>
      <c r="CE26" s="278"/>
      <c r="CF26" s="34"/>
      <c r="CG26" s="35"/>
      <c r="CH26" s="104"/>
      <c r="CI26" s="265"/>
      <c r="CJ26" s="278"/>
      <c r="CK26" s="23"/>
      <c r="CL26" s="24"/>
      <c r="CM26" s="104"/>
      <c r="CN26" s="265"/>
      <c r="CO26" s="278"/>
      <c r="CP26" s="23"/>
      <c r="CQ26" s="171"/>
      <c r="CR26" s="104"/>
      <c r="CS26" s="263"/>
      <c r="CT26" s="278"/>
      <c r="CU26" s="430"/>
      <c r="CV26" s="431"/>
      <c r="CW26" s="431"/>
      <c r="CX26" s="432"/>
      <c r="CY26" s="23"/>
      <c r="CZ26" s="171"/>
      <c r="DA26" s="171"/>
      <c r="DB26" s="172"/>
      <c r="DC26" s="433"/>
      <c r="DD26" s="65"/>
      <c r="DE26" s="65"/>
      <c r="DF26" s="434"/>
    </row>
    <row r="27" spans="1:110" x14ac:dyDescent="0.25">
      <c r="A27" s="5" t="s">
        <v>30</v>
      </c>
      <c r="B27" s="6">
        <v>22</v>
      </c>
      <c r="C27" s="456">
        <v>1587870</v>
      </c>
      <c r="D27" s="83">
        <f>'Qrtrly Cash Balances'!C24</f>
        <v>4906100.8899999997</v>
      </c>
      <c r="E27" s="35">
        <f>RUTF!$D25</f>
        <v>482591.57</v>
      </c>
      <c r="F27" s="401">
        <f>RUTF!$E25</f>
        <v>529339.23</v>
      </c>
      <c r="G27" s="406">
        <f>RUTF!$F25</f>
        <v>0</v>
      </c>
      <c r="H27" s="155">
        <f>RUTF!$G25</f>
        <v>0</v>
      </c>
      <c r="I27" s="156">
        <f>Federal!$F24+Federal!$J24+Federal!$N24+Federal!$R24</f>
        <v>0</v>
      </c>
      <c r="J27" s="155">
        <f>'Co Contrib'!C24+'Co Contrib'!D24+'Co Contrib'!E24+'Co Contrib'!F24+'Other Rev'!E24+'Other Rev'!H24+'Other Rev'!K24+'Other Rev'!N24</f>
        <v>0</v>
      </c>
      <c r="K27" s="149">
        <f>-1*(Expenditures!H24+Expenditures!N24+Expenditures!T24+Expenditures!Z24)</f>
        <v>-501812.05</v>
      </c>
      <c r="L27" s="74">
        <f>'Qrtrly Obligations'!U23</f>
        <v>-382141.25</v>
      </c>
      <c r="M27" s="246">
        <f t="shared" si="3"/>
        <v>4494923.8899999997</v>
      </c>
      <c r="N27" s="248">
        <f t="shared" si="4"/>
        <v>4164923.89</v>
      </c>
      <c r="O27" s="54">
        <f t="shared" si="5"/>
        <v>0</v>
      </c>
      <c r="P27" s="255">
        <f t="shared" si="6"/>
        <v>0</v>
      </c>
      <c r="Q27" s="246">
        <f t="shared" si="7"/>
        <v>0</v>
      </c>
      <c r="R27" s="248">
        <f t="shared" si="8"/>
        <v>0</v>
      </c>
      <c r="S27" s="54">
        <f t="shared" si="9"/>
        <v>0</v>
      </c>
      <c r="T27" s="255">
        <f t="shared" si="10"/>
        <v>0</v>
      </c>
      <c r="U27" s="246">
        <f t="shared" si="11"/>
        <v>0</v>
      </c>
      <c r="V27" s="248">
        <f t="shared" si="12"/>
        <v>0</v>
      </c>
      <c r="W27" s="54">
        <f t="shared" si="13"/>
        <v>0</v>
      </c>
      <c r="X27" s="255">
        <f t="shared" si="14"/>
        <v>0</v>
      </c>
      <c r="Y27" s="246">
        <f t="shared" si="15"/>
        <v>4494923.8899999997</v>
      </c>
      <c r="Z27" s="248">
        <f t="shared" si="16"/>
        <v>4164923.89</v>
      </c>
      <c r="AA27" s="54">
        <f t="shared" si="17"/>
        <v>0</v>
      </c>
      <c r="AB27" s="255">
        <f t="shared" si="18"/>
        <v>0</v>
      </c>
      <c r="AC27" s="246">
        <f t="shared" si="19"/>
        <v>0</v>
      </c>
      <c r="AD27" s="248">
        <f t="shared" si="20"/>
        <v>0</v>
      </c>
      <c r="AE27" s="54">
        <f t="shared" si="21"/>
        <v>0</v>
      </c>
      <c r="AF27" s="255">
        <f t="shared" si="22"/>
        <v>0</v>
      </c>
      <c r="AG27" s="83">
        <f t="shared" si="23"/>
        <v>5416219.6399999997</v>
      </c>
      <c r="AH27" s="146">
        <f t="shared" si="24"/>
        <v>5034078.3899999997</v>
      </c>
      <c r="AI27" s="181">
        <f t="shared" si="25"/>
        <v>869154.49999999953</v>
      </c>
      <c r="AJ27" s="182">
        <f t="shared" si="0"/>
        <v>0.54737132132983146</v>
      </c>
      <c r="AK27" s="183">
        <f t="shared" si="1"/>
        <v>5632764.5</v>
      </c>
      <c r="AL27" s="7">
        <f t="shared" si="2"/>
        <v>8808504.5</v>
      </c>
      <c r="AM27" s="23"/>
      <c r="AN27" s="24"/>
      <c r="AO27" s="104"/>
      <c r="AP27" s="265"/>
      <c r="AQ27" s="278"/>
      <c r="AR27" s="23"/>
      <c r="AS27" s="24"/>
      <c r="AT27" s="104"/>
      <c r="AU27" s="265"/>
      <c r="AV27" s="278"/>
      <c r="AW27" s="23"/>
      <c r="AX27" s="24"/>
      <c r="AY27" s="104"/>
      <c r="AZ27" s="265"/>
      <c r="BA27" s="278"/>
      <c r="BB27" s="23"/>
      <c r="BC27" s="24"/>
      <c r="BD27" s="25"/>
      <c r="BE27" s="265"/>
      <c r="BF27" s="278"/>
      <c r="BG27" s="23"/>
      <c r="BH27" s="24"/>
      <c r="BI27" s="25"/>
      <c r="BJ27" s="265"/>
      <c r="BK27" s="278"/>
      <c r="BL27" s="34"/>
      <c r="BM27" s="94"/>
      <c r="BN27" s="104"/>
      <c r="BO27" s="265"/>
      <c r="BP27" s="278"/>
      <c r="BQ27" s="34"/>
      <c r="BR27" s="35"/>
      <c r="BS27" s="99"/>
      <c r="BT27" s="263"/>
      <c r="BU27" s="278"/>
      <c r="BV27" s="23"/>
      <c r="BW27" s="24"/>
      <c r="BX27" s="104"/>
      <c r="BY27" s="263"/>
      <c r="BZ27" s="278"/>
      <c r="CA27" s="34">
        <v>4494923.8899999997</v>
      </c>
      <c r="CB27" s="35">
        <v>4164923.89</v>
      </c>
      <c r="CC27" s="104"/>
      <c r="CD27" s="265"/>
      <c r="CE27" s="278"/>
      <c r="CF27" s="23"/>
      <c r="CG27" s="24"/>
      <c r="CH27" s="104"/>
      <c r="CI27" s="265"/>
      <c r="CJ27" s="278"/>
      <c r="CK27" s="34"/>
      <c r="CL27" s="35"/>
      <c r="CM27" s="99"/>
      <c r="CN27" s="265"/>
      <c r="CO27" s="278"/>
      <c r="CP27" s="23"/>
      <c r="CQ27" s="171"/>
      <c r="CR27" s="104"/>
      <c r="CS27" s="263"/>
      <c r="CT27" s="278"/>
      <c r="CU27" s="430"/>
      <c r="CV27" s="431"/>
      <c r="CW27" s="431"/>
      <c r="CX27" s="432"/>
      <c r="CY27" s="23"/>
      <c r="CZ27" s="171"/>
      <c r="DA27" s="171"/>
      <c r="DB27" s="172"/>
      <c r="DC27" s="433"/>
      <c r="DD27" s="65"/>
      <c r="DE27" s="65"/>
      <c r="DF27" s="434"/>
    </row>
    <row r="28" spans="1:110" x14ac:dyDescent="0.25">
      <c r="A28" s="5" t="s">
        <v>31</v>
      </c>
      <c r="B28" s="6">
        <v>23</v>
      </c>
      <c r="C28" s="456">
        <v>1554946</v>
      </c>
      <c r="D28" s="83">
        <f>'Qrtrly Cash Balances'!C25</f>
        <v>1026811.57</v>
      </c>
      <c r="E28" s="35">
        <f>RUTF!$D26</f>
        <v>472584.98</v>
      </c>
      <c r="F28" s="401">
        <f>RUTF!$E26</f>
        <v>518363.32</v>
      </c>
      <c r="G28" s="406">
        <f>RUTF!$F26</f>
        <v>0</v>
      </c>
      <c r="H28" s="155">
        <f>RUTF!$G26</f>
        <v>0</v>
      </c>
      <c r="I28" s="156">
        <f>Federal!$F25+Federal!$J25+Federal!$N25+Federal!$R25</f>
        <v>1001287.5499999999</v>
      </c>
      <c r="J28" s="155">
        <f>'Co Contrib'!C25+'Co Contrib'!D25+'Co Contrib'!E25+'Co Contrib'!F25+'Other Rev'!E25+'Other Rev'!H25+'Other Rev'!K25+'Other Rev'!N25</f>
        <v>0</v>
      </c>
      <c r="K28" s="149">
        <f>-1*(Expenditures!H25+Expenditures!N25+Expenditures!T25+Expenditures!Z25)</f>
        <v>-2288563.3200000003</v>
      </c>
      <c r="L28" s="74">
        <f>'Qrtrly Obligations'!U24</f>
        <v>-2732266.08</v>
      </c>
      <c r="M28" s="246">
        <f t="shared" si="3"/>
        <v>2895865.75</v>
      </c>
      <c r="N28" s="248">
        <f t="shared" si="4"/>
        <v>2313838.65</v>
      </c>
      <c r="O28" s="54">
        <f t="shared" si="5"/>
        <v>182027.1</v>
      </c>
      <c r="P28" s="255">
        <f t="shared" si="6"/>
        <v>2553178</v>
      </c>
      <c r="Q28" s="246">
        <f t="shared" si="7"/>
        <v>182027.1</v>
      </c>
      <c r="R28" s="248">
        <f t="shared" si="8"/>
        <v>0</v>
      </c>
      <c r="S28" s="54">
        <f t="shared" si="9"/>
        <v>182027.1</v>
      </c>
      <c r="T28" s="255">
        <f t="shared" si="10"/>
        <v>0</v>
      </c>
      <c r="U28" s="246">
        <f t="shared" si="11"/>
        <v>0</v>
      </c>
      <c r="V28" s="248">
        <f t="shared" si="12"/>
        <v>0</v>
      </c>
      <c r="W28" s="54">
        <f t="shared" si="13"/>
        <v>0</v>
      </c>
      <c r="X28" s="255">
        <f t="shared" si="14"/>
        <v>2271892</v>
      </c>
      <c r="Y28" s="246">
        <f t="shared" si="15"/>
        <v>2713838.65</v>
      </c>
      <c r="Z28" s="248">
        <f t="shared" si="16"/>
        <v>2313838.65</v>
      </c>
      <c r="AA28" s="54">
        <f t="shared" si="17"/>
        <v>0</v>
      </c>
      <c r="AB28" s="255">
        <f t="shared" si="18"/>
        <v>281286</v>
      </c>
      <c r="AC28" s="246">
        <f t="shared" si="19"/>
        <v>0</v>
      </c>
      <c r="AD28" s="248">
        <f t="shared" si="20"/>
        <v>0</v>
      </c>
      <c r="AE28" s="54">
        <f t="shared" si="21"/>
        <v>0</v>
      </c>
      <c r="AF28" s="255">
        <f t="shared" si="22"/>
        <v>0</v>
      </c>
      <c r="AG28" s="83">
        <f t="shared" si="23"/>
        <v>730484.09999999963</v>
      </c>
      <c r="AH28" s="146">
        <f t="shared" si="24"/>
        <v>-2001781.9800000004</v>
      </c>
      <c r="AI28" s="181">
        <f t="shared" si="25"/>
        <v>-4596906.6300000008</v>
      </c>
      <c r="AJ28" s="182">
        <f t="shared" si="0"/>
        <v>-2.9563127143965136</v>
      </c>
      <c r="AK28" s="183">
        <f t="shared" si="1"/>
        <v>67931.36999999918</v>
      </c>
      <c r="AL28" s="7">
        <f t="shared" si="2"/>
        <v>3177823.3699999992</v>
      </c>
      <c r="AM28" s="34">
        <v>105146.3</v>
      </c>
      <c r="AN28" s="24"/>
      <c r="AO28" s="99">
        <v>105146.3</v>
      </c>
      <c r="AP28" s="265"/>
      <c r="AQ28" s="278"/>
      <c r="AR28" s="34">
        <v>76880.800000000003</v>
      </c>
      <c r="AS28" s="24"/>
      <c r="AT28" s="99">
        <v>76880.800000000003</v>
      </c>
      <c r="AU28" s="265"/>
      <c r="AV28" s="278"/>
      <c r="AW28" s="23"/>
      <c r="AX28" s="24"/>
      <c r="AY28" s="104"/>
      <c r="AZ28" s="265"/>
      <c r="BA28" s="278"/>
      <c r="BB28" s="23"/>
      <c r="BC28" s="24"/>
      <c r="BD28" s="25"/>
      <c r="BE28" s="265"/>
      <c r="BF28" s="278"/>
      <c r="BG28" s="23"/>
      <c r="BH28" s="24"/>
      <c r="BI28" s="25"/>
      <c r="BJ28" s="265"/>
      <c r="BK28" s="278"/>
      <c r="BL28" s="23"/>
      <c r="BM28" s="93"/>
      <c r="BN28" s="104"/>
      <c r="BO28" s="265"/>
      <c r="BP28" s="278">
        <v>2271892</v>
      </c>
      <c r="BQ28" s="34">
        <v>2713838.65</v>
      </c>
      <c r="BR28" s="35">
        <v>2313838.65</v>
      </c>
      <c r="BS28" s="99"/>
      <c r="BT28" s="263"/>
      <c r="BU28" s="278"/>
      <c r="BV28" s="23"/>
      <c r="BW28" s="24"/>
      <c r="BX28" s="104"/>
      <c r="BY28" s="263"/>
      <c r="BZ28" s="278">
        <v>281286</v>
      </c>
      <c r="CA28" s="34"/>
      <c r="CB28" s="25"/>
      <c r="CC28" s="99"/>
      <c r="CD28" s="265"/>
      <c r="CE28" s="278"/>
      <c r="CF28" s="34"/>
      <c r="CG28" s="35"/>
      <c r="CH28" s="104"/>
      <c r="CI28" s="265"/>
      <c r="CJ28" s="278"/>
      <c r="CK28" s="34"/>
      <c r="CL28" s="35"/>
      <c r="CM28" s="99"/>
      <c r="CN28" s="265"/>
      <c r="CO28" s="278"/>
      <c r="CP28" s="34"/>
      <c r="CQ28" s="279"/>
      <c r="CR28" s="104"/>
      <c r="CS28" s="263"/>
      <c r="CT28" s="278"/>
      <c r="CU28" s="430"/>
      <c r="CV28" s="431"/>
      <c r="CW28" s="431"/>
      <c r="CX28" s="432"/>
      <c r="CY28" s="23"/>
      <c r="CZ28" s="171"/>
      <c r="DA28" s="171"/>
      <c r="DB28" s="172"/>
      <c r="DC28" s="433"/>
      <c r="DD28" s="65"/>
      <c r="DE28" s="65"/>
      <c r="DF28" s="65"/>
    </row>
    <row r="29" spans="1:110" ht="14.45" customHeight="1" x14ac:dyDescent="0.25">
      <c r="A29" s="5" t="s">
        <v>32</v>
      </c>
      <c r="B29" s="6">
        <v>24</v>
      </c>
      <c r="C29" s="456">
        <v>1293282</v>
      </c>
      <c r="D29" s="83">
        <f>'Qrtrly Cash Balances'!C26</f>
        <v>-2605546.7200000002</v>
      </c>
      <c r="E29" s="35">
        <f>RUTF!$D27</f>
        <v>393059.29</v>
      </c>
      <c r="F29" s="401">
        <f>RUTF!$E27</f>
        <v>431134.14</v>
      </c>
      <c r="G29" s="406">
        <f>RUTF!$F27</f>
        <v>0</v>
      </c>
      <c r="H29" s="155">
        <f>RUTF!$G27</f>
        <v>0</v>
      </c>
      <c r="I29" s="156">
        <f>Federal!$F26+Federal!$J26+Federal!$N26+Federal!$R26</f>
        <v>673509.53</v>
      </c>
      <c r="J29" s="155">
        <f>'Co Contrib'!C26+'Co Contrib'!D26+'Co Contrib'!E26+'Co Contrib'!F26+'Other Rev'!E26+'Other Rev'!H26+'Other Rev'!K26+'Other Rev'!N26</f>
        <v>0</v>
      </c>
      <c r="K29" s="149">
        <f>-1*(Expenditures!H26+Expenditures!N26+Expenditures!T26+Expenditures!Z26)</f>
        <v>-673509.53</v>
      </c>
      <c r="L29" s="74">
        <f>'Qrtrly Obligations'!U25</f>
        <v>-73256.149999999994</v>
      </c>
      <c r="M29" s="246">
        <f t="shared" si="3"/>
        <v>283418.90000000002</v>
      </c>
      <c r="N29" s="248">
        <f t="shared" si="4"/>
        <v>0</v>
      </c>
      <c r="O29" s="54">
        <f t="shared" si="5"/>
        <v>283418.90000000002</v>
      </c>
      <c r="P29" s="255">
        <f t="shared" si="6"/>
        <v>1353872.98</v>
      </c>
      <c r="Q29" s="246">
        <f t="shared" si="7"/>
        <v>0</v>
      </c>
      <c r="R29" s="248">
        <f t="shared" si="8"/>
        <v>0</v>
      </c>
      <c r="S29" s="54">
        <f t="shared" si="9"/>
        <v>0</v>
      </c>
      <c r="T29" s="255">
        <f t="shared" si="10"/>
        <v>0</v>
      </c>
      <c r="U29" s="246">
        <f t="shared" si="11"/>
        <v>0</v>
      </c>
      <c r="V29" s="248">
        <f t="shared" si="12"/>
        <v>0</v>
      </c>
      <c r="W29" s="54">
        <f t="shared" si="13"/>
        <v>0</v>
      </c>
      <c r="X29" s="255">
        <f t="shared" si="14"/>
        <v>0</v>
      </c>
      <c r="Y29" s="246">
        <f t="shared" si="15"/>
        <v>283418.90000000002</v>
      </c>
      <c r="Z29" s="248">
        <f t="shared" si="16"/>
        <v>0</v>
      </c>
      <c r="AA29" s="54">
        <f t="shared" si="17"/>
        <v>283418.90000000002</v>
      </c>
      <c r="AB29" s="255">
        <f t="shared" si="18"/>
        <v>1353872.98</v>
      </c>
      <c r="AC29" s="246">
        <f t="shared" si="19"/>
        <v>0</v>
      </c>
      <c r="AD29" s="248">
        <f t="shared" si="20"/>
        <v>0</v>
      </c>
      <c r="AE29" s="54">
        <f t="shared" si="21"/>
        <v>0</v>
      </c>
      <c r="AF29" s="255">
        <f t="shared" si="22"/>
        <v>0</v>
      </c>
      <c r="AG29" s="83">
        <f t="shared" si="23"/>
        <v>-1781353.29</v>
      </c>
      <c r="AH29" s="146">
        <f t="shared" si="24"/>
        <v>-1854609.44</v>
      </c>
      <c r="AI29" s="181">
        <f t="shared" si="25"/>
        <v>-3491901.32</v>
      </c>
      <c r="AJ29" s="182">
        <f t="shared" si="0"/>
        <v>-2.7000308672045228</v>
      </c>
      <c r="AK29" s="183">
        <f t="shared" si="1"/>
        <v>387944.68000000017</v>
      </c>
      <c r="AL29" s="7">
        <f t="shared" si="2"/>
        <v>2974508.68</v>
      </c>
      <c r="AM29" s="23"/>
      <c r="AN29" s="24"/>
      <c r="AO29" s="104"/>
      <c r="AP29" s="265"/>
      <c r="AQ29" s="278"/>
      <c r="AR29" s="23"/>
      <c r="AS29" s="24"/>
      <c r="AT29" s="104"/>
      <c r="AU29" s="265"/>
      <c r="AV29" s="278"/>
      <c r="AW29" s="23"/>
      <c r="AX29" s="24"/>
      <c r="AY29" s="104"/>
      <c r="AZ29" s="265"/>
      <c r="BA29" s="278"/>
      <c r="BB29" s="23"/>
      <c r="BC29" s="24"/>
      <c r="BD29" s="25"/>
      <c r="BE29" s="265"/>
      <c r="BF29" s="278"/>
      <c r="BG29" s="23"/>
      <c r="BH29" s="24"/>
      <c r="BI29" s="25"/>
      <c r="BJ29" s="265"/>
      <c r="BK29" s="278"/>
      <c r="BL29" s="23"/>
      <c r="BM29" s="93"/>
      <c r="BN29" s="104"/>
      <c r="BO29" s="265"/>
      <c r="BP29" s="278"/>
      <c r="BQ29" s="34"/>
      <c r="BR29" s="35"/>
      <c r="BS29" s="99"/>
      <c r="BT29" s="263"/>
      <c r="BU29" s="278"/>
      <c r="BV29" s="34"/>
      <c r="BW29" s="24"/>
      <c r="BX29" s="99"/>
      <c r="BY29" s="263"/>
      <c r="BZ29" s="278">
        <v>1353872.98</v>
      </c>
      <c r="CA29" s="34">
        <v>283418.90000000002</v>
      </c>
      <c r="CB29" s="68"/>
      <c r="CC29" s="104">
        <v>283418.90000000002</v>
      </c>
      <c r="CD29" s="265"/>
      <c r="CE29" s="278"/>
      <c r="CF29" s="34"/>
      <c r="CG29" s="35"/>
      <c r="CH29" s="104"/>
      <c r="CI29" s="265"/>
      <c r="CJ29" s="278"/>
      <c r="CK29" s="23"/>
      <c r="CL29" s="24"/>
      <c r="CM29" s="104"/>
      <c r="CN29" s="265"/>
      <c r="CO29" s="278"/>
      <c r="CP29" s="23"/>
      <c r="CQ29" s="171"/>
      <c r="CR29" s="104"/>
      <c r="CS29" s="263"/>
      <c r="CT29" s="278"/>
      <c r="CU29" s="430"/>
      <c r="CV29" s="431"/>
      <c r="CW29" s="431"/>
      <c r="CX29" s="432"/>
      <c r="CY29" s="23"/>
      <c r="CZ29" s="171"/>
      <c r="DA29" s="171"/>
      <c r="DB29" s="172"/>
      <c r="DC29" s="433"/>
      <c r="DD29" s="65"/>
      <c r="DE29" s="434"/>
      <c r="DF29" s="434"/>
    </row>
    <row r="30" spans="1:110" x14ac:dyDescent="0.25">
      <c r="A30" s="9" t="s">
        <v>33</v>
      </c>
      <c r="B30" s="17">
        <v>25</v>
      </c>
      <c r="C30" s="457">
        <v>1524132</v>
      </c>
      <c r="D30" s="84">
        <f>'Qrtrly Cash Balances'!C27</f>
        <v>-1382068.12</v>
      </c>
      <c r="E30" s="33">
        <f>RUTF!$D28</f>
        <v>463220.15</v>
      </c>
      <c r="F30" s="402">
        <f>RUTF!$E28</f>
        <v>508091.34</v>
      </c>
      <c r="G30" s="160">
        <f>RUTF!$F28</f>
        <v>0</v>
      </c>
      <c r="H30" s="159">
        <f>RUTF!$G28</f>
        <v>0</v>
      </c>
      <c r="I30" s="160">
        <f>Federal!$F27+Federal!$J27+Federal!$N27+Federal!$R27</f>
        <v>0</v>
      </c>
      <c r="J30" s="159">
        <f>'Co Contrib'!C27+'Co Contrib'!D27+'Co Contrib'!E27+'Co Contrib'!F27+'Other Rev'!E27+'Other Rev'!H27+'Other Rev'!K27+'Other Rev'!N27</f>
        <v>60000</v>
      </c>
      <c r="K30" s="151">
        <f>-1*(Expenditures!H27+Expenditures!N27+Expenditures!T27+Expenditures!Z27)</f>
        <v>-1181527.26</v>
      </c>
      <c r="L30" s="56">
        <f>'Qrtrly Obligations'!U26</f>
        <v>-989068.09</v>
      </c>
      <c r="M30" s="249">
        <f t="shared" si="3"/>
        <v>0</v>
      </c>
      <c r="N30" s="250">
        <f t="shared" si="4"/>
        <v>0</v>
      </c>
      <c r="O30" s="253">
        <f t="shared" si="5"/>
        <v>0</v>
      </c>
      <c r="P30" s="256">
        <f t="shared" si="6"/>
        <v>0</v>
      </c>
      <c r="Q30" s="249">
        <f t="shared" si="7"/>
        <v>0</v>
      </c>
      <c r="R30" s="250">
        <f t="shared" si="8"/>
        <v>0</v>
      </c>
      <c r="S30" s="253">
        <f t="shared" si="9"/>
        <v>0</v>
      </c>
      <c r="T30" s="256">
        <f t="shared" si="10"/>
        <v>0</v>
      </c>
      <c r="U30" s="249">
        <f t="shared" si="11"/>
        <v>0</v>
      </c>
      <c r="V30" s="250">
        <f t="shared" si="12"/>
        <v>0</v>
      </c>
      <c r="W30" s="253">
        <f t="shared" si="13"/>
        <v>0</v>
      </c>
      <c r="X30" s="256">
        <f t="shared" si="14"/>
        <v>0</v>
      </c>
      <c r="Y30" s="249">
        <f t="shared" si="15"/>
        <v>0</v>
      </c>
      <c r="Z30" s="250">
        <f t="shared" si="16"/>
        <v>0</v>
      </c>
      <c r="AA30" s="253">
        <f t="shared" si="17"/>
        <v>0</v>
      </c>
      <c r="AB30" s="256">
        <f t="shared" si="18"/>
        <v>0</v>
      </c>
      <c r="AC30" s="249">
        <f t="shared" si="19"/>
        <v>0</v>
      </c>
      <c r="AD30" s="250">
        <f t="shared" si="20"/>
        <v>0</v>
      </c>
      <c r="AE30" s="253">
        <f t="shared" si="21"/>
        <v>0</v>
      </c>
      <c r="AF30" s="256">
        <f t="shared" si="22"/>
        <v>0</v>
      </c>
      <c r="AG30" s="84">
        <f t="shared" si="23"/>
        <v>-1532283.8900000001</v>
      </c>
      <c r="AH30" s="147">
        <f t="shared" si="24"/>
        <v>-2521351.98</v>
      </c>
      <c r="AI30" s="184">
        <f t="shared" si="25"/>
        <v>-2521351.98</v>
      </c>
      <c r="AJ30" s="185">
        <f t="shared" si="0"/>
        <v>-1.6542871483572288</v>
      </c>
      <c r="AK30" s="183">
        <f t="shared" si="1"/>
        <v>2051044.02</v>
      </c>
      <c r="AL30" s="18">
        <f t="shared" si="2"/>
        <v>5099308.0199999996</v>
      </c>
      <c r="AM30" s="37"/>
      <c r="AN30" s="27"/>
      <c r="AO30" s="269"/>
      <c r="AP30" s="267"/>
      <c r="AQ30" s="174"/>
      <c r="AR30" s="37"/>
      <c r="AS30" s="27"/>
      <c r="AT30" s="269"/>
      <c r="AU30" s="267"/>
      <c r="AV30" s="174"/>
      <c r="AW30" s="26"/>
      <c r="AX30" s="27"/>
      <c r="AY30" s="269"/>
      <c r="AZ30" s="267"/>
      <c r="BA30" s="174"/>
      <c r="BB30" s="26"/>
      <c r="BC30" s="27"/>
      <c r="BD30" s="28"/>
      <c r="BE30" s="267"/>
      <c r="BF30" s="174"/>
      <c r="BG30" s="26"/>
      <c r="BH30" s="27"/>
      <c r="BI30" s="28"/>
      <c r="BJ30" s="267"/>
      <c r="BK30" s="174"/>
      <c r="BL30" s="366"/>
      <c r="BM30" s="173"/>
      <c r="BN30" s="269"/>
      <c r="BO30" s="267"/>
      <c r="BP30" s="174"/>
      <c r="BQ30" s="37"/>
      <c r="BR30" s="33"/>
      <c r="BS30" s="260"/>
      <c r="BT30" s="264"/>
      <c r="BU30" s="174"/>
      <c r="BV30" s="37"/>
      <c r="BW30" s="27"/>
      <c r="BX30" s="260"/>
      <c r="BY30" s="264"/>
      <c r="BZ30" s="174"/>
      <c r="CA30" s="26"/>
      <c r="CB30" s="27"/>
      <c r="CC30" s="269"/>
      <c r="CD30" s="267"/>
      <c r="CE30" s="174"/>
      <c r="CF30" s="26"/>
      <c r="CG30" s="27"/>
      <c r="CH30" s="269"/>
      <c r="CI30" s="267"/>
      <c r="CJ30" s="174"/>
      <c r="CK30" s="37"/>
      <c r="CL30" s="33"/>
      <c r="CM30" s="269"/>
      <c r="CN30" s="267"/>
      <c r="CO30" s="174"/>
      <c r="CP30" s="26"/>
      <c r="CQ30" s="173"/>
      <c r="CR30" s="269"/>
      <c r="CS30" s="264"/>
      <c r="CT30" s="174"/>
      <c r="CU30" s="437"/>
      <c r="CV30" s="438"/>
      <c r="CW30" s="438"/>
      <c r="CX30" s="439"/>
      <c r="CY30" s="26"/>
      <c r="CZ30" s="173"/>
      <c r="DA30" s="173"/>
      <c r="DB30" s="174"/>
      <c r="DC30" s="433"/>
      <c r="DD30" s="65"/>
      <c r="DE30" s="65"/>
      <c r="DF30" s="434"/>
    </row>
    <row r="31" spans="1:110" s="32" customFormat="1" x14ac:dyDescent="0.25">
      <c r="A31" s="5" t="s">
        <v>34</v>
      </c>
      <c r="B31" s="6">
        <v>26</v>
      </c>
      <c r="C31" s="456">
        <v>1056717</v>
      </c>
      <c r="D31" s="83">
        <f>'Qrtrly Cash Balances'!C28</f>
        <v>392550.36</v>
      </c>
      <c r="E31" s="35">
        <f>RUTF!$D29</f>
        <v>321161.44</v>
      </c>
      <c r="F31" s="401">
        <f>RUTF!$E29</f>
        <v>352271.69</v>
      </c>
      <c r="G31" s="406">
        <f>RUTF!$F29</f>
        <v>0</v>
      </c>
      <c r="H31" s="155">
        <f>RUTF!$G29</f>
        <v>0</v>
      </c>
      <c r="I31" s="156">
        <f>Federal!$F28+Federal!$J28+Federal!$N28+Federal!$R28</f>
        <v>0</v>
      </c>
      <c r="J31" s="155">
        <f>'Co Contrib'!C28+'Co Contrib'!D28+'Co Contrib'!E28+'Co Contrib'!F28+'Other Rev'!E28+'Other Rev'!H28+'Other Rev'!K28+'Other Rev'!N28</f>
        <v>0</v>
      </c>
      <c r="K31" s="149">
        <f>-1*(Expenditures!H28+Expenditures!N28+Expenditures!T28+Expenditures!Z28)</f>
        <v>-884407.69</v>
      </c>
      <c r="L31" s="74">
        <f>'Qrtrly Obligations'!U27</f>
        <v>-1993231</v>
      </c>
      <c r="M31" s="246">
        <f t="shared" si="3"/>
        <v>2433739.92</v>
      </c>
      <c r="N31" s="248">
        <f t="shared" si="4"/>
        <v>579051.18999999994</v>
      </c>
      <c r="O31" s="54">
        <f t="shared" si="5"/>
        <v>0</v>
      </c>
      <c r="P31" s="255">
        <f t="shared" si="6"/>
        <v>0</v>
      </c>
      <c r="Q31" s="246">
        <f t="shared" si="7"/>
        <v>510009.55</v>
      </c>
      <c r="R31" s="248">
        <f t="shared" si="8"/>
        <v>95320.82</v>
      </c>
      <c r="S31" s="54">
        <f t="shared" si="9"/>
        <v>0</v>
      </c>
      <c r="T31" s="255">
        <f t="shared" si="10"/>
        <v>0</v>
      </c>
      <c r="U31" s="246">
        <f t="shared" si="11"/>
        <v>1923730.37</v>
      </c>
      <c r="V31" s="248">
        <f t="shared" si="12"/>
        <v>483730.37</v>
      </c>
      <c r="W31" s="54">
        <f t="shared" si="13"/>
        <v>0</v>
      </c>
      <c r="X31" s="255">
        <f t="shared" si="14"/>
        <v>0</v>
      </c>
      <c r="Y31" s="246">
        <f t="shared" si="15"/>
        <v>0</v>
      </c>
      <c r="Z31" s="248">
        <f t="shared" si="16"/>
        <v>0</v>
      </c>
      <c r="AA31" s="54">
        <f t="shared" si="17"/>
        <v>0</v>
      </c>
      <c r="AB31" s="255">
        <f t="shared" si="18"/>
        <v>0</v>
      </c>
      <c r="AC31" s="246">
        <f t="shared" si="19"/>
        <v>0</v>
      </c>
      <c r="AD31" s="248">
        <f t="shared" si="20"/>
        <v>0</v>
      </c>
      <c r="AE31" s="54">
        <f t="shared" si="21"/>
        <v>0</v>
      </c>
      <c r="AF31" s="255">
        <f t="shared" si="22"/>
        <v>0</v>
      </c>
      <c r="AG31" s="83">
        <f t="shared" si="23"/>
        <v>181575.80000000005</v>
      </c>
      <c r="AH31" s="146">
        <f t="shared" si="24"/>
        <v>-1811655.2</v>
      </c>
      <c r="AI31" s="181">
        <f t="shared" si="25"/>
        <v>-1811655.2</v>
      </c>
      <c r="AJ31" s="182">
        <f t="shared" si="0"/>
        <v>-1.714418524543468</v>
      </c>
      <c r="AK31" s="186">
        <f t="shared" si="1"/>
        <v>1358495.8</v>
      </c>
      <c r="AL31" s="7">
        <f t="shared" si="2"/>
        <v>3471929.8</v>
      </c>
      <c r="AM31" s="23">
        <v>510009.55</v>
      </c>
      <c r="AN31" s="24">
        <v>95320.82</v>
      </c>
      <c r="AO31" s="104"/>
      <c r="AP31" s="265"/>
      <c r="AQ31" s="278"/>
      <c r="AR31" s="23"/>
      <c r="AS31" s="24"/>
      <c r="AT31" s="104"/>
      <c r="AU31" s="265"/>
      <c r="AV31" s="278"/>
      <c r="AW31" s="23"/>
      <c r="AX31" s="24"/>
      <c r="AY31" s="104"/>
      <c r="AZ31" s="265"/>
      <c r="BA31" s="278"/>
      <c r="BB31" s="23"/>
      <c r="BC31" s="24"/>
      <c r="BD31" s="25"/>
      <c r="BE31" s="265"/>
      <c r="BF31" s="278"/>
      <c r="BG31" s="23">
        <v>1923730.37</v>
      </c>
      <c r="BH31" s="24">
        <v>483730.37</v>
      </c>
      <c r="BI31" s="25"/>
      <c r="BJ31" s="265"/>
      <c r="BK31" s="278"/>
      <c r="BL31" s="34"/>
      <c r="BM31" s="94"/>
      <c r="BN31" s="104"/>
      <c r="BO31" s="265"/>
      <c r="BP31" s="278"/>
      <c r="BQ31" s="34"/>
      <c r="BR31" s="35"/>
      <c r="BS31" s="99"/>
      <c r="BT31" s="263"/>
      <c r="BU31" s="278"/>
      <c r="BV31" s="23"/>
      <c r="BW31" s="24"/>
      <c r="BX31" s="104"/>
      <c r="BY31" s="263"/>
      <c r="BZ31" s="278"/>
      <c r="CA31" s="34"/>
      <c r="CB31" s="35"/>
      <c r="CC31" s="104"/>
      <c r="CD31" s="265"/>
      <c r="CE31" s="278"/>
      <c r="CF31" s="34"/>
      <c r="CG31" s="35"/>
      <c r="CH31" s="104"/>
      <c r="CI31" s="265"/>
      <c r="CJ31" s="278"/>
      <c r="CK31" s="23"/>
      <c r="CL31" s="24"/>
      <c r="CM31" s="104"/>
      <c r="CN31" s="265"/>
      <c r="CO31" s="278"/>
      <c r="CP31" s="34"/>
      <c r="CQ31" s="279"/>
      <c r="CR31" s="104"/>
      <c r="CS31" s="263"/>
      <c r="CT31" s="278"/>
      <c r="CU31" s="430"/>
      <c r="CV31" s="431"/>
      <c r="CW31" s="431"/>
      <c r="CX31" s="432"/>
      <c r="CY31" s="23"/>
      <c r="CZ31" s="171"/>
      <c r="DA31" s="171"/>
      <c r="DB31" s="172"/>
      <c r="DC31" s="433"/>
      <c r="DD31" s="435"/>
      <c r="DE31" s="435"/>
      <c r="DF31" s="436"/>
    </row>
    <row r="32" spans="1:110" x14ac:dyDescent="0.25">
      <c r="A32" s="5" t="s">
        <v>117</v>
      </c>
      <c r="B32" s="6">
        <v>27</v>
      </c>
      <c r="C32" s="456">
        <v>1076543</v>
      </c>
      <c r="D32" s="83">
        <f>'Qrtrly Cash Balances'!C29</f>
        <v>-307647.13</v>
      </c>
      <c r="E32" s="35">
        <f>RUTF!$D30</f>
        <v>327187.08</v>
      </c>
      <c r="F32" s="401">
        <f>RUTF!$E30</f>
        <v>358881.03</v>
      </c>
      <c r="G32" s="406">
        <f>RUTF!$F30</f>
        <v>0</v>
      </c>
      <c r="H32" s="155">
        <f>RUTF!$G30</f>
        <v>0</v>
      </c>
      <c r="I32" s="156">
        <f>Federal!$F29+Federal!$J29+Federal!$N29+Federal!$R29</f>
        <v>12446.25</v>
      </c>
      <c r="J32" s="155">
        <f>'Co Contrib'!C29+'Co Contrib'!D29+'Co Contrib'!E29+'Co Contrib'!F29+'Other Rev'!E29+'Other Rev'!H29+'Other Rev'!K29+'Other Rev'!N29</f>
        <v>0</v>
      </c>
      <c r="K32" s="149">
        <f>-1*(Expenditures!H29+Expenditures!N29+Expenditures!T29+Expenditures!Z29)</f>
        <v>-47979.509999999995</v>
      </c>
      <c r="L32" s="74">
        <f>'Qrtrly Obligations'!U28</f>
        <v>-72008.3</v>
      </c>
      <c r="M32" s="246">
        <f t="shared" si="3"/>
        <v>0</v>
      </c>
      <c r="N32" s="248">
        <f t="shared" si="4"/>
        <v>0</v>
      </c>
      <c r="O32" s="54">
        <f t="shared" si="5"/>
        <v>0</v>
      </c>
      <c r="P32" s="255">
        <f t="shared" si="6"/>
        <v>0</v>
      </c>
      <c r="Q32" s="246">
        <f t="shared" si="7"/>
        <v>0</v>
      </c>
      <c r="R32" s="248">
        <f t="shared" si="8"/>
        <v>0</v>
      </c>
      <c r="S32" s="54">
        <f t="shared" si="9"/>
        <v>0</v>
      </c>
      <c r="T32" s="255">
        <f t="shared" si="10"/>
        <v>0</v>
      </c>
      <c r="U32" s="246">
        <f t="shared" si="11"/>
        <v>0</v>
      </c>
      <c r="V32" s="248">
        <f t="shared" si="12"/>
        <v>0</v>
      </c>
      <c r="W32" s="54">
        <f t="shared" si="13"/>
        <v>0</v>
      </c>
      <c r="X32" s="255">
        <f t="shared" si="14"/>
        <v>0</v>
      </c>
      <c r="Y32" s="246">
        <f t="shared" si="15"/>
        <v>0</v>
      </c>
      <c r="Z32" s="248">
        <f t="shared" si="16"/>
        <v>0</v>
      </c>
      <c r="AA32" s="54">
        <f t="shared" si="17"/>
        <v>0</v>
      </c>
      <c r="AB32" s="255">
        <f t="shared" si="18"/>
        <v>0</v>
      </c>
      <c r="AC32" s="246">
        <f t="shared" si="19"/>
        <v>0</v>
      </c>
      <c r="AD32" s="248">
        <f t="shared" si="20"/>
        <v>0</v>
      </c>
      <c r="AE32" s="54">
        <f t="shared" si="21"/>
        <v>0</v>
      </c>
      <c r="AF32" s="255">
        <f t="shared" si="22"/>
        <v>0</v>
      </c>
      <c r="AG32" s="83">
        <f t="shared" si="23"/>
        <v>342887.72000000003</v>
      </c>
      <c r="AH32" s="146">
        <f t="shared" si="24"/>
        <v>270879.42000000004</v>
      </c>
      <c r="AI32" s="181">
        <f t="shared" si="25"/>
        <v>270879.42000000004</v>
      </c>
      <c r="AJ32" s="182">
        <f t="shared" si="0"/>
        <v>0.25161969377906879</v>
      </c>
      <c r="AK32" s="183">
        <f t="shared" si="1"/>
        <v>3500508.42</v>
      </c>
      <c r="AL32" s="7">
        <f t="shared" si="2"/>
        <v>5653594.4199999999</v>
      </c>
      <c r="AM32" s="34"/>
      <c r="AN32" s="24"/>
      <c r="AO32" s="99"/>
      <c r="AP32" s="265"/>
      <c r="AQ32" s="278"/>
      <c r="AR32" s="34"/>
      <c r="AS32" s="24"/>
      <c r="AT32" s="99"/>
      <c r="AU32" s="265"/>
      <c r="AV32" s="278"/>
      <c r="AW32" s="23"/>
      <c r="AX32" s="24"/>
      <c r="AY32" s="104"/>
      <c r="AZ32" s="265"/>
      <c r="BA32" s="278"/>
      <c r="BB32" s="23"/>
      <c r="BC32" s="24"/>
      <c r="BD32" s="25"/>
      <c r="BE32" s="265"/>
      <c r="BF32" s="278"/>
      <c r="BG32" s="23"/>
      <c r="BH32" s="24"/>
      <c r="BI32" s="25"/>
      <c r="BJ32" s="265"/>
      <c r="BK32" s="278"/>
      <c r="BL32" s="23"/>
      <c r="BM32" s="93"/>
      <c r="BN32" s="104"/>
      <c r="BO32" s="265"/>
      <c r="BP32" s="278"/>
      <c r="BQ32" s="34"/>
      <c r="BR32" s="35"/>
      <c r="BS32" s="99"/>
      <c r="BT32" s="263"/>
      <c r="BU32" s="278"/>
      <c r="BV32" s="34"/>
      <c r="BW32" s="35"/>
      <c r="BX32" s="104"/>
      <c r="BY32" s="263"/>
      <c r="BZ32" s="278"/>
      <c r="CA32" s="34"/>
      <c r="CB32" s="35"/>
      <c r="CC32" s="104"/>
      <c r="CD32" s="265"/>
      <c r="CE32" s="278"/>
      <c r="CF32" s="34"/>
      <c r="CG32" s="35"/>
      <c r="CH32" s="104"/>
      <c r="CI32" s="265"/>
      <c r="CJ32" s="278"/>
      <c r="CK32" s="34"/>
      <c r="CL32" s="35"/>
      <c r="CM32" s="104"/>
      <c r="CN32" s="265"/>
      <c r="CO32" s="278"/>
      <c r="CP32" s="34"/>
      <c r="CQ32" s="171"/>
      <c r="CR32" s="99"/>
      <c r="CS32" s="263"/>
      <c r="CT32" s="278"/>
      <c r="CU32" s="23"/>
      <c r="CV32" s="431"/>
      <c r="CW32" s="431"/>
      <c r="CX32" s="432"/>
      <c r="CY32" s="440"/>
      <c r="CZ32" s="171"/>
      <c r="DA32" s="171"/>
      <c r="DB32" s="172"/>
      <c r="DC32" s="433"/>
      <c r="DD32" s="65"/>
      <c r="DE32" s="65"/>
      <c r="DF32" s="434"/>
    </row>
    <row r="33" spans="1:110" x14ac:dyDescent="0.25">
      <c r="A33" s="5" t="s">
        <v>35</v>
      </c>
      <c r="B33" s="6">
        <v>28</v>
      </c>
      <c r="C33" s="456">
        <v>1392948</v>
      </c>
      <c r="D33" s="83">
        <f>'Qrtrly Cash Balances'!C30</f>
        <v>-256496.54</v>
      </c>
      <c r="E33" s="35">
        <f>RUTF!$D31</f>
        <v>423349.98</v>
      </c>
      <c r="F33" s="401">
        <f>RUTF!$E31</f>
        <v>464359.03</v>
      </c>
      <c r="G33" s="406">
        <f>RUTF!$F31</f>
        <v>0</v>
      </c>
      <c r="H33" s="155">
        <f>RUTF!$G31</f>
        <v>0</v>
      </c>
      <c r="I33" s="156">
        <f>Federal!$F30+Federal!$J30+Federal!$N30+Federal!$R30</f>
        <v>0</v>
      </c>
      <c r="J33" s="155">
        <f>'Co Contrib'!C30+'Co Contrib'!D30+'Co Contrib'!E30+'Co Contrib'!F30+'Other Rev'!E30+'Other Rev'!H30+'Other Rev'!K30+'Other Rev'!N30</f>
        <v>0</v>
      </c>
      <c r="K33" s="149">
        <f>-1*(Expenditures!H30+Expenditures!N30+Expenditures!T30+Expenditures!Z30)</f>
        <v>0</v>
      </c>
      <c r="L33" s="74">
        <f>'Qrtrly Obligations'!U29</f>
        <v>-4532280.5</v>
      </c>
      <c r="M33" s="246">
        <f t="shared" si="3"/>
        <v>3162449.9</v>
      </c>
      <c r="N33" s="248">
        <f>$AN33+$AS33+$AX33+$BC33+$BH33+$BM33+$BR33+$BW33+$CB33+$CG33+$CL33+$CQ33</f>
        <v>0</v>
      </c>
      <c r="O33" s="54">
        <f>$AO33+$AT33+$AY33+$BD33+$BI33+$BN33+$BS33+$BX33+$CC33+$CH33+$CM33+$CR33+$CU33+$CV33+$CW33+$CX33+$CY33+$CZ$6+$DA$6+$DB$6</f>
        <v>3162449.9</v>
      </c>
      <c r="P33" s="255">
        <f t="shared" si="6"/>
        <v>527299.5</v>
      </c>
      <c r="Q33" s="246">
        <f t="shared" si="7"/>
        <v>3162449.9</v>
      </c>
      <c r="R33" s="248">
        <f>$AN33+$AS33+$AX33</f>
        <v>0</v>
      </c>
      <c r="S33" s="54">
        <f>$AO33+$AT33+$AY33+$CU33+$CY33</f>
        <v>3162449.9</v>
      </c>
      <c r="T33" s="255">
        <f t="shared" si="10"/>
        <v>424348.5</v>
      </c>
      <c r="U33" s="246">
        <f t="shared" si="11"/>
        <v>0</v>
      </c>
      <c r="V33" s="248">
        <f t="shared" si="12"/>
        <v>0</v>
      </c>
      <c r="W33" s="54">
        <f t="shared" si="13"/>
        <v>0</v>
      </c>
      <c r="X33" s="255">
        <f t="shared" si="14"/>
        <v>0</v>
      </c>
      <c r="Y33" s="246">
        <f t="shared" si="15"/>
        <v>0</v>
      </c>
      <c r="Z33" s="248">
        <f t="shared" si="16"/>
        <v>0</v>
      </c>
      <c r="AA33" s="54">
        <f t="shared" si="17"/>
        <v>0</v>
      </c>
      <c r="AB33" s="255">
        <f t="shared" si="18"/>
        <v>102951</v>
      </c>
      <c r="AC33" s="246">
        <f t="shared" si="19"/>
        <v>0</v>
      </c>
      <c r="AD33" s="248">
        <f t="shared" si="20"/>
        <v>0</v>
      </c>
      <c r="AE33" s="54">
        <f t="shared" si="21"/>
        <v>0</v>
      </c>
      <c r="AF33" s="255">
        <f t="shared" si="22"/>
        <v>0</v>
      </c>
      <c r="AG33" s="83">
        <f t="shared" si="23"/>
        <v>631212.47</v>
      </c>
      <c r="AH33" s="146">
        <f t="shared" si="24"/>
        <v>-3901068.0300000003</v>
      </c>
      <c r="AI33" s="181">
        <f t="shared" si="25"/>
        <v>-4004019.0300000003</v>
      </c>
      <c r="AJ33" s="182">
        <f t="shared" si="0"/>
        <v>-2.8744928238527212</v>
      </c>
      <c r="AK33" s="183">
        <f t="shared" si="1"/>
        <v>174824.96999999974</v>
      </c>
      <c r="AL33" s="7">
        <f t="shared" si="2"/>
        <v>2960720.9699999997</v>
      </c>
      <c r="AM33" s="23"/>
      <c r="AN33" s="24"/>
      <c r="AO33" s="104"/>
      <c r="AP33" s="265"/>
      <c r="AQ33" s="278"/>
      <c r="AR33" s="23"/>
      <c r="AS33" s="24"/>
      <c r="AT33" s="104"/>
      <c r="AU33" s="265"/>
      <c r="AV33" s="278"/>
      <c r="AW33" s="23">
        <f>3162449.9</f>
        <v>3162449.9</v>
      </c>
      <c r="AX33" s="24"/>
      <c r="AY33" s="104">
        <f>3162449.9</f>
        <v>3162449.9</v>
      </c>
      <c r="AZ33" s="265"/>
      <c r="BA33" s="278">
        <v>424348.5</v>
      </c>
      <c r="BB33" s="23"/>
      <c r="BC33" s="24"/>
      <c r="BD33" s="25"/>
      <c r="BE33" s="265"/>
      <c r="BF33" s="278"/>
      <c r="BG33" s="34"/>
      <c r="BH33" s="35"/>
      <c r="BI33" s="36"/>
      <c r="BJ33" s="265"/>
      <c r="BK33" s="278"/>
      <c r="BL33" s="23"/>
      <c r="BM33" s="93"/>
      <c r="BN33" s="104"/>
      <c r="BO33" s="265"/>
      <c r="BP33" s="278"/>
      <c r="BQ33" s="441"/>
      <c r="BR33" s="442"/>
      <c r="BS33" s="99"/>
      <c r="BT33" s="263"/>
      <c r="BU33" s="278">
        <v>102951</v>
      </c>
      <c r="BV33" s="23"/>
      <c r="BW33" s="93"/>
      <c r="BX33" s="271"/>
      <c r="BY33" s="263"/>
      <c r="BZ33" s="278"/>
      <c r="CA33" s="34"/>
      <c r="CB33" s="35"/>
      <c r="CC33" s="99"/>
      <c r="CD33" s="265"/>
      <c r="CE33" s="278"/>
      <c r="CF33" s="23"/>
      <c r="CG33" s="24"/>
      <c r="CH33" s="104"/>
      <c r="CI33" s="265"/>
      <c r="CJ33" s="278"/>
      <c r="CK33" s="34"/>
      <c r="CL33" s="24"/>
      <c r="CM33" s="99"/>
      <c r="CN33" s="265"/>
      <c r="CO33" s="278"/>
      <c r="CP33" s="34"/>
      <c r="CQ33" s="279"/>
      <c r="CR33" s="104"/>
      <c r="CS33" s="263"/>
      <c r="CT33" s="278"/>
      <c r="CU33" s="430"/>
      <c r="CV33" s="431"/>
      <c r="CW33" s="431"/>
      <c r="CX33" s="432"/>
      <c r="CY33" s="23"/>
      <c r="CZ33" s="171"/>
      <c r="DA33" s="171"/>
      <c r="DB33" s="172"/>
      <c r="DC33" s="433"/>
      <c r="DD33" s="65"/>
      <c r="DE33" s="65"/>
      <c r="DF33" s="434"/>
    </row>
    <row r="34" spans="1:110" x14ac:dyDescent="0.25">
      <c r="A34" s="5" t="s">
        <v>36</v>
      </c>
      <c r="B34" s="6">
        <v>29</v>
      </c>
      <c r="C34" s="456">
        <v>1112390</v>
      </c>
      <c r="D34" s="83">
        <f>'Qrtrly Cash Balances'!C31</f>
        <v>981759.69</v>
      </c>
      <c r="E34" s="35">
        <f>RUTF!$D32</f>
        <v>338081.74</v>
      </c>
      <c r="F34" s="401">
        <f>RUTF!$E32</f>
        <v>370831.02</v>
      </c>
      <c r="G34" s="406">
        <f>RUTF!$F32</f>
        <v>0</v>
      </c>
      <c r="H34" s="155">
        <f>RUTF!$G32</f>
        <v>0</v>
      </c>
      <c r="I34" s="156">
        <f>Federal!$F31+Federal!$J31+Federal!$N31+Federal!$R31</f>
        <v>0</v>
      </c>
      <c r="J34" s="155">
        <f>'Co Contrib'!C31+'Co Contrib'!D31+'Co Contrib'!E31+'Co Contrib'!F31+'Other Rev'!E31+'Other Rev'!H31+'Other Rev'!K31+'Other Rev'!N31</f>
        <v>0</v>
      </c>
      <c r="K34" s="149">
        <f>-1*(Expenditures!H31+Expenditures!N31+Expenditures!T31+Expenditures!Z31)</f>
        <v>-123360.67</v>
      </c>
      <c r="L34" s="74">
        <f>'Qrtrly Obligations'!U30</f>
        <v>-33185.11</v>
      </c>
      <c r="M34" s="246">
        <f t="shared" si="3"/>
        <v>7425828.5999999996</v>
      </c>
      <c r="N34" s="248">
        <f t="shared" si="4"/>
        <v>2971733.45</v>
      </c>
      <c r="O34" s="54">
        <f t="shared" si="5"/>
        <v>2811339.15</v>
      </c>
      <c r="P34" s="255">
        <f t="shared" si="6"/>
        <v>2254835.9500000002</v>
      </c>
      <c r="Q34" s="246">
        <f t="shared" si="7"/>
        <v>0</v>
      </c>
      <c r="R34" s="248">
        <f t="shared" si="8"/>
        <v>0</v>
      </c>
      <c r="S34" s="54">
        <f t="shared" si="9"/>
        <v>0</v>
      </c>
      <c r="T34" s="255">
        <f t="shared" si="10"/>
        <v>0</v>
      </c>
      <c r="U34" s="246">
        <f t="shared" si="11"/>
        <v>0</v>
      </c>
      <c r="V34" s="248">
        <f t="shared" si="12"/>
        <v>0</v>
      </c>
      <c r="W34" s="54">
        <f t="shared" si="13"/>
        <v>0</v>
      </c>
      <c r="X34" s="255">
        <f t="shared" si="14"/>
        <v>0</v>
      </c>
      <c r="Y34" s="246">
        <f t="shared" si="15"/>
        <v>7425828.5999999996</v>
      </c>
      <c r="Z34" s="248">
        <f t="shared" si="16"/>
        <v>2971733.45</v>
      </c>
      <c r="AA34" s="54">
        <f t="shared" si="17"/>
        <v>2811339.15</v>
      </c>
      <c r="AB34" s="255">
        <f t="shared" si="18"/>
        <v>2254835.9500000002</v>
      </c>
      <c r="AC34" s="246">
        <f t="shared" si="19"/>
        <v>0</v>
      </c>
      <c r="AD34" s="248">
        <f t="shared" si="20"/>
        <v>0</v>
      </c>
      <c r="AE34" s="54">
        <f t="shared" si="21"/>
        <v>0</v>
      </c>
      <c r="AF34" s="255">
        <f t="shared" si="22"/>
        <v>0</v>
      </c>
      <c r="AG34" s="83">
        <f t="shared" si="23"/>
        <v>1567311.78</v>
      </c>
      <c r="AH34" s="146">
        <f t="shared" si="24"/>
        <v>1534126.67</v>
      </c>
      <c r="AI34" s="181">
        <f t="shared" si="25"/>
        <v>-6503781.8799999999</v>
      </c>
      <c r="AJ34" s="182">
        <f t="shared" si="0"/>
        <v>-5.8466741700302949</v>
      </c>
      <c r="AK34" s="183">
        <f t="shared" si="1"/>
        <v>-3166611.88</v>
      </c>
      <c r="AL34" s="7">
        <f t="shared" si="2"/>
        <v>-941831.87999999989</v>
      </c>
      <c r="AM34" s="23"/>
      <c r="AN34" s="24"/>
      <c r="AO34" s="104"/>
      <c r="AP34" s="265"/>
      <c r="AQ34" s="278"/>
      <c r="AR34" s="23"/>
      <c r="AS34" s="24"/>
      <c r="AT34" s="104"/>
      <c r="AU34" s="265"/>
      <c r="AV34" s="278"/>
      <c r="AW34" s="23"/>
      <c r="AX34" s="24"/>
      <c r="AY34" s="104"/>
      <c r="AZ34" s="265"/>
      <c r="BA34" s="278"/>
      <c r="BB34" s="23"/>
      <c r="BC34" s="24"/>
      <c r="BD34" s="25"/>
      <c r="BE34" s="265"/>
      <c r="BF34" s="278"/>
      <c r="BG34" s="23"/>
      <c r="BH34" s="24"/>
      <c r="BI34" s="25"/>
      <c r="BJ34" s="265"/>
      <c r="BK34" s="278"/>
      <c r="BL34" s="34"/>
      <c r="BM34" s="94"/>
      <c r="BN34" s="104"/>
      <c r="BO34" s="265"/>
      <c r="BP34" s="278"/>
      <c r="BQ34" s="34">
        <f>2811339.15+4614489.45</f>
        <v>7425828.5999999996</v>
      </c>
      <c r="BR34" s="35">
        <v>2971733.45</v>
      </c>
      <c r="BS34" s="99">
        <v>2811339.15</v>
      </c>
      <c r="BT34" s="263"/>
      <c r="BU34" s="278">
        <f>1148728.35+1106107.6</f>
        <v>2254835.9500000002</v>
      </c>
      <c r="BV34" s="34"/>
      <c r="BW34" s="35"/>
      <c r="BX34" s="104"/>
      <c r="BY34" s="263"/>
      <c r="BZ34" s="278"/>
      <c r="CA34" s="23"/>
      <c r="CB34" s="24"/>
      <c r="CC34" s="104"/>
      <c r="CD34" s="265"/>
      <c r="CE34" s="278"/>
      <c r="CF34" s="23"/>
      <c r="CG34" s="24"/>
      <c r="CH34" s="104"/>
      <c r="CI34" s="265"/>
      <c r="CJ34" s="278"/>
      <c r="CK34" s="23"/>
      <c r="CL34" s="24"/>
      <c r="CM34" s="104"/>
      <c r="CN34" s="265"/>
      <c r="CO34" s="278"/>
      <c r="CP34" s="23"/>
      <c r="CQ34" s="171"/>
      <c r="CR34" s="104"/>
      <c r="CS34" s="263"/>
      <c r="CT34" s="278"/>
      <c r="CU34" s="430"/>
      <c r="CV34" s="431"/>
      <c r="CW34" s="431"/>
      <c r="CX34" s="432"/>
      <c r="CY34" s="23"/>
      <c r="CZ34" s="171"/>
      <c r="DA34" s="171"/>
      <c r="DB34" s="172"/>
      <c r="DC34" s="446"/>
      <c r="DD34" s="65"/>
      <c r="DE34" s="65"/>
      <c r="DF34" s="434"/>
    </row>
    <row r="35" spans="1:110" x14ac:dyDescent="0.25">
      <c r="A35" s="9" t="s">
        <v>37</v>
      </c>
      <c r="B35" s="17">
        <v>30</v>
      </c>
      <c r="C35" s="457">
        <v>900677</v>
      </c>
      <c r="D35" s="84">
        <f>'Qrtrly Cash Balances'!C32</f>
        <v>2478055.9</v>
      </c>
      <c r="E35" s="33">
        <f>RUTF!$D33</f>
        <v>273737.19</v>
      </c>
      <c r="F35" s="402">
        <f>RUTF!$E33</f>
        <v>300253.55</v>
      </c>
      <c r="G35" s="160">
        <f>RUTF!$F33</f>
        <v>0</v>
      </c>
      <c r="H35" s="159">
        <f>RUTF!$G33</f>
        <v>0</v>
      </c>
      <c r="I35" s="160">
        <f>Federal!$F32+Federal!$J32+Federal!$N32+Federal!$R32</f>
        <v>894568</v>
      </c>
      <c r="J35" s="159">
        <f>'Co Contrib'!C32+'Co Contrib'!D32+'Co Contrib'!E32+'Co Contrib'!F32+'Other Rev'!E32+'Other Rev'!H32+'Other Rev'!K32+'Other Rev'!N32</f>
        <v>0</v>
      </c>
      <c r="K35" s="151">
        <f>-1*(Expenditures!H32+Expenditures!N32+Expenditures!T32+Expenditures!Z32)</f>
        <v>-1880799.1300000001</v>
      </c>
      <c r="L35" s="56">
        <f>'Qrtrly Obligations'!U31</f>
        <v>-152247.26999999999</v>
      </c>
      <c r="M35" s="249">
        <f t="shared" si="3"/>
        <v>0</v>
      </c>
      <c r="N35" s="250">
        <f t="shared" si="4"/>
        <v>0</v>
      </c>
      <c r="O35" s="253">
        <f t="shared" si="5"/>
        <v>0</v>
      </c>
      <c r="P35" s="256">
        <f t="shared" si="6"/>
        <v>0</v>
      </c>
      <c r="Q35" s="249">
        <f t="shared" si="7"/>
        <v>0</v>
      </c>
      <c r="R35" s="250">
        <f t="shared" si="8"/>
        <v>0</v>
      </c>
      <c r="S35" s="253">
        <f t="shared" si="9"/>
        <v>0</v>
      </c>
      <c r="T35" s="256">
        <f t="shared" si="10"/>
        <v>0</v>
      </c>
      <c r="U35" s="249">
        <f t="shared" si="11"/>
        <v>0</v>
      </c>
      <c r="V35" s="250">
        <f t="shared" si="12"/>
        <v>0</v>
      </c>
      <c r="W35" s="253">
        <f t="shared" si="13"/>
        <v>0</v>
      </c>
      <c r="X35" s="256">
        <f t="shared" si="14"/>
        <v>0</v>
      </c>
      <c r="Y35" s="249">
        <f t="shared" si="15"/>
        <v>0</v>
      </c>
      <c r="Z35" s="250">
        <f t="shared" si="16"/>
        <v>0</v>
      </c>
      <c r="AA35" s="253">
        <f t="shared" si="17"/>
        <v>0</v>
      </c>
      <c r="AB35" s="256">
        <f t="shared" si="18"/>
        <v>0</v>
      </c>
      <c r="AC35" s="249">
        <f t="shared" si="19"/>
        <v>0</v>
      </c>
      <c r="AD35" s="250">
        <f t="shared" si="20"/>
        <v>0</v>
      </c>
      <c r="AE35" s="253">
        <f t="shared" si="21"/>
        <v>0</v>
      </c>
      <c r="AF35" s="256">
        <f t="shared" si="22"/>
        <v>0</v>
      </c>
      <c r="AG35" s="84">
        <f t="shared" si="23"/>
        <v>2065815.5099999995</v>
      </c>
      <c r="AH35" s="147">
        <f t="shared" si="24"/>
        <v>1913568.2399999995</v>
      </c>
      <c r="AI35" s="184">
        <f t="shared" si="25"/>
        <v>1913568.2399999995</v>
      </c>
      <c r="AJ35" s="185">
        <f t="shared" si="0"/>
        <v>2.1245887704471187</v>
      </c>
      <c r="AK35" s="183">
        <f t="shared" si="1"/>
        <v>4615599.2399999993</v>
      </c>
      <c r="AL35" s="18">
        <f t="shared" si="2"/>
        <v>6416953.2399999993</v>
      </c>
      <c r="AM35" s="26"/>
      <c r="AN35" s="27"/>
      <c r="AO35" s="269"/>
      <c r="AP35" s="267"/>
      <c r="AQ35" s="174"/>
      <c r="AR35" s="26"/>
      <c r="AS35" s="27"/>
      <c r="AT35" s="269"/>
      <c r="AU35" s="267"/>
      <c r="AV35" s="174"/>
      <c r="AW35" s="26"/>
      <c r="AX35" s="27"/>
      <c r="AY35" s="269"/>
      <c r="AZ35" s="267"/>
      <c r="BA35" s="174"/>
      <c r="BB35" s="26"/>
      <c r="BC35" s="27"/>
      <c r="BD35" s="28"/>
      <c r="BE35" s="267"/>
      <c r="BF35" s="174"/>
      <c r="BG35" s="26"/>
      <c r="BH35" s="27"/>
      <c r="BI35" s="28"/>
      <c r="BJ35" s="267"/>
      <c r="BK35" s="174"/>
      <c r="BL35" s="26"/>
      <c r="BM35" s="173"/>
      <c r="BN35" s="269"/>
      <c r="BO35" s="267"/>
      <c r="BP35" s="174"/>
      <c r="BQ35" s="37"/>
      <c r="BR35" s="33"/>
      <c r="BS35" s="260"/>
      <c r="BT35" s="264"/>
      <c r="BU35" s="174"/>
      <c r="BV35" s="26"/>
      <c r="BW35" s="27"/>
      <c r="BX35" s="269"/>
      <c r="BY35" s="264"/>
      <c r="BZ35" s="174"/>
      <c r="CA35" s="26"/>
      <c r="CB35" s="27"/>
      <c r="CC35" s="269"/>
      <c r="CD35" s="267"/>
      <c r="CE35" s="174"/>
      <c r="CF35" s="26"/>
      <c r="CG35" s="27"/>
      <c r="CH35" s="269"/>
      <c r="CI35" s="267"/>
      <c r="CJ35" s="174"/>
      <c r="CK35" s="26"/>
      <c r="CL35" s="27"/>
      <c r="CM35" s="269"/>
      <c r="CN35" s="267"/>
      <c r="CO35" s="174"/>
      <c r="CP35" s="37"/>
      <c r="CQ35" s="365"/>
      <c r="CR35" s="269"/>
      <c r="CS35" s="264"/>
      <c r="CT35" s="174"/>
      <c r="CU35" s="437"/>
      <c r="CV35" s="438"/>
      <c r="CW35" s="438"/>
      <c r="CX35" s="439"/>
      <c r="CY35" s="26"/>
      <c r="CZ35" s="173"/>
      <c r="DA35" s="173"/>
      <c r="DB35" s="174"/>
      <c r="DC35" s="214"/>
      <c r="DD35" s="65"/>
      <c r="DE35" s="65"/>
      <c r="DF35" s="434"/>
    </row>
    <row r="36" spans="1:110" x14ac:dyDescent="0.25">
      <c r="A36" s="5" t="s">
        <v>38</v>
      </c>
      <c r="B36" s="6">
        <v>31</v>
      </c>
      <c r="C36" s="456">
        <v>1890432</v>
      </c>
      <c r="D36" s="83">
        <f>'Qrtrly Cash Balances'!C33</f>
        <v>3069190.38</v>
      </c>
      <c r="E36" s="35">
        <f>RUTF!$D34</f>
        <v>574547.37</v>
      </c>
      <c r="F36" s="401">
        <f>RUTF!$E34</f>
        <v>630202.61</v>
      </c>
      <c r="G36" s="406">
        <f>RUTF!$F34</f>
        <v>0</v>
      </c>
      <c r="H36" s="155">
        <f>RUTF!$G34</f>
        <v>0</v>
      </c>
      <c r="I36" s="156">
        <f>Federal!$F33+Federal!$J33+Federal!$N33+Federal!$R33</f>
        <v>855133.3899999999</v>
      </c>
      <c r="J36" s="155">
        <f>'Co Contrib'!C33+'Co Contrib'!D33+'Co Contrib'!E33+'Co Contrib'!F33+'Other Rev'!E33+'Other Rev'!H33+'Other Rev'!K33+'Other Rev'!N33</f>
        <v>0</v>
      </c>
      <c r="K36" s="149">
        <f>-1*(Expenditures!H33+Expenditures!N33+Expenditures!T33+Expenditures!Z33)</f>
        <v>-2524800.81</v>
      </c>
      <c r="L36" s="74">
        <f>'Qrtrly Obligations'!U32</f>
        <v>-3282404.48</v>
      </c>
      <c r="M36" s="246">
        <f t="shared" si="3"/>
        <v>2785349.08</v>
      </c>
      <c r="N36" s="248">
        <f t="shared" si="4"/>
        <v>656311.74</v>
      </c>
      <c r="O36" s="54">
        <f t="shared" si="5"/>
        <v>0</v>
      </c>
      <c r="P36" s="255">
        <f t="shared" si="6"/>
        <v>770929.9</v>
      </c>
      <c r="Q36" s="246">
        <f t="shared" si="7"/>
        <v>2036296.68</v>
      </c>
      <c r="R36" s="248">
        <f t="shared" si="8"/>
        <v>407259.34</v>
      </c>
      <c r="S36" s="54">
        <f t="shared" si="9"/>
        <v>0</v>
      </c>
      <c r="T36" s="255">
        <f t="shared" si="10"/>
        <v>770929.9</v>
      </c>
      <c r="U36" s="246">
        <f t="shared" si="11"/>
        <v>749052.4</v>
      </c>
      <c r="V36" s="248">
        <f t="shared" si="12"/>
        <v>249052.4</v>
      </c>
      <c r="W36" s="54">
        <f t="shared" si="13"/>
        <v>0</v>
      </c>
      <c r="X36" s="255">
        <f t="shared" si="14"/>
        <v>0</v>
      </c>
      <c r="Y36" s="246">
        <f t="shared" si="15"/>
        <v>0</v>
      </c>
      <c r="Z36" s="248">
        <f t="shared" si="16"/>
        <v>0</v>
      </c>
      <c r="AA36" s="54">
        <f t="shared" si="17"/>
        <v>0</v>
      </c>
      <c r="AB36" s="255">
        <f t="shared" si="18"/>
        <v>0</v>
      </c>
      <c r="AC36" s="246">
        <f t="shared" si="19"/>
        <v>0</v>
      </c>
      <c r="AD36" s="248">
        <f t="shared" si="20"/>
        <v>0</v>
      </c>
      <c r="AE36" s="54">
        <f t="shared" si="21"/>
        <v>0</v>
      </c>
      <c r="AF36" s="255">
        <f t="shared" si="22"/>
        <v>0</v>
      </c>
      <c r="AG36" s="83">
        <f t="shared" si="23"/>
        <v>2604272.94</v>
      </c>
      <c r="AH36" s="146">
        <f t="shared" si="24"/>
        <v>-678131.54</v>
      </c>
      <c r="AI36" s="181">
        <f t="shared" si="25"/>
        <v>-678131.54</v>
      </c>
      <c r="AJ36" s="182">
        <f t="shared" si="0"/>
        <v>-0.35871776398198935</v>
      </c>
      <c r="AK36" s="186">
        <f t="shared" si="1"/>
        <v>4993164.46</v>
      </c>
      <c r="AL36" s="7">
        <f t="shared" si="2"/>
        <v>8774028.4600000009</v>
      </c>
      <c r="AM36" s="23"/>
      <c r="AN36" s="24"/>
      <c r="AO36" s="104"/>
      <c r="AP36" s="265"/>
      <c r="AQ36" s="364">
        <v>770929.9</v>
      </c>
      <c r="AR36" s="23">
        <v>2036296.68</v>
      </c>
      <c r="AS36" s="24">
        <v>407259.34</v>
      </c>
      <c r="AT36" s="104"/>
      <c r="AU36" s="265"/>
      <c r="AV36" s="364"/>
      <c r="AW36" s="23"/>
      <c r="AX36" s="24"/>
      <c r="AY36" s="104"/>
      <c r="AZ36" s="265"/>
      <c r="BA36" s="364"/>
      <c r="BB36" s="23"/>
      <c r="BC36" s="24"/>
      <c r="BD36" s="25"/>
      <c r="BE36" s="265"/>
      <c r="BF36" s="364"/>
      <c r="BG36" s="23"/>
      <c r="BH36" s="24"/>
      <c r="BI36" s="25"/>
      <c r="BJ36" s="265"/>
      <c r="BK36" s="364"/>
      <c r="BL36" s="34">
        <v>749052.4</v>
      </c>
      <c r="BM36" s="93">
        <v>249052.4</v>
      </c>
      <c r="BN36" s="99"/>
      <c r="BO36" s="265"/>
      <c r="BP36" s="364"/>
      <c r="BQ36" s="441"/>
      <c r="BR36" s="35"/>
      <c r="BS36" s="99"/>
      <c r="BT36" s="263"/>
      <c r="BU36" s="364"/>
      <c r="BV36" s="23"/>
      <c r="BW36" s="93"/>
      <c r="BX36" s="271"/>
      <c r="BY36" s="263"/>
      <c r="BZ36" s="364"/>
      <c r="CA36" s="34"/>
      <c r="CB36" s="35"/>
      <c r="CC36" s="104"/>
      <c r="CD36" s="265"/>
      <c r="CE36" s="364"/>
      <c r="CF36" s="34"/>
      <c r="CG36" s="35"/>
      <c r="CH36" s="104"/>
      <c r="CI36" s="265"/>
      <c r="CJ36" s="364"/>
      <c r="CK36" s="23"/>
      <c r="CL36" s="24"/>
      <c r="CM36" s="104"/>
      <c r="CN36" s="265"/>
      <c r="CO36" s="364"/>
      <c r="CP36" s="23"/>
      <c r="CQ36" s="171"/>
      <c r="CR36" s="104"/>
      <c r="CS36" s="263"/>
      <c r="CT36" s="364"/>
      <c r="CU36" s="430"/>
      <c r="CV36" s="431"/>
      <c r="CW36" s="431"/>
      <c r="CX36" s="432"/>
      <c r="CY36" s="23"/>
      <c r="CZ36" s="171"/>
      <c r="DA36" s="171"/>
      <c r="DB36" s="172"/>
      <c r="DC36" s="433"/>
      <c r="DD36" s="65"/>
      <c r="DE36" s="65"/>
      <c r="DF36" s="434"/>
    </row>
    <row r="37" spans="1:110" x14ac:dyDescent="0.25">
      <c r="A37" s="5" t="s">
        <v>39</v>
      </c>
      <c r="B37" s="6">
        <v>32</v>
      </c>
      <c r="C37" s="456">
        <v>736112</v>
      </c>
      <c r="D37" s="83">
        <f>'Qrtrly Cash Balances'!C34</f>
        <v>126193.55</v>
      </c>
      <c r="E37" s="35">
        <f>RUTF!$D35</f>
        <v>223721.82</v>
      </c>
      <c r="F37" s="401">
        <f>RUTF!$E35</f>
        <v>245393.29</v>
      </c>
      <c r="G37" s="406">
        <f>RUTF!$F35</f>
        <v>0</v>
      </c>
      <c r="H37" s="155">
        <f>RUTF!$G35</f>
        <v>0</v>
      </c>
      <c r="I37" s="156">
        <f>Federal!$F34+Federal!$J34+Federal!$N34+Federal!$R34</f>
        <v>0</v>
      </c>
      <c r="J37" s="155">
        <f>'Co Contrib'!C34+'Co Contrib'!D34+'Co Contrib'!E34+'Co Contrib'!F34+'Other Rev'!E34+'Other Rev'!H34+'Other Rev'!K34+'Other Rev'!N34</f>
        <v>0</v>
      </c>
      <c r="K37" s="149">
        <f>-1*(Expenditures!H34+Expenditures!N34+Expenditures!T34+Expenditures!Z34)</f>
        <v>0</v>
      </c>
      <c r="L37" s="74">
        <f>'Qrtrly Obligations'!U33</f>
        <v>-71042.52</v>
      </c>
      <c r="M37" s="246">
        <f t="shared" si="3"/>
        <v>0</v>
      </c>
      <c r="N37" s="248">
        <f t="shared" si="4"/>
        <v>0</v>
      </c>
      <c r="O37" s="54">
        <f t="shared" si="5"/>
        <v>0</v>
      </c>
      <c r="P37" s="255">
        <f t="shared" si="6"/>
        <v>0</v>
      </c>
      <c r="Q37" s="246">
        <f t="shared" si="7"/>
        <v>0</v>
      </c>
      <c r="R37" s="248">
        <f t="shared" si="8"/>
        <v>0</v>
      </c>
      <c r="S37" s="54">
        <f t="shared" si="9"/>
        <v>0</v>
      </c>
      <c r="T37" s="255">
        <f t="shared" si="10"/>
        <v>0</v>
      </c>
      <c r="U37" s="246">
        <f t="shared" si="11"/>
        <v>0</v>
      </c>
      <c r="V37" s="248">
        <f t="shared" si="12"/>
        <v>0</v>
      </c>
      <c r="W37" s="54">
        <f t="shared" si="13"/>
        <v>0</v>
      </c>
      <c r="X37" s="255">
        <f t="shared" si="14"/>
        <v>0</v>
      </c>
      <c r="Y37" s="246">
        <f t="shared" si="15"/>
        <v>0</v>
      </c>
      <c r="Z37" s="248">
        <f t="shared" si="16"/>
        <v>0</v>
      </c>
      <c r="AA37" s="54">
        <f t="shared" si="17"/>
        <v>0</v>
      </c>
      <c r="AB37" s="255">
        <f t="shared" si="18"/>
        <v>0</v>
      </c>
      <c r="AC37" s="246">
        <f t="shared" si="19"/>
        <v>0</v>
      </c>
      <c r="AD37" s="248">
        <f t="shared" si="20"/>
        <v>0</v>
      </c>
      <c r="AE37" s="54">
        <f t="shared" si="21"/>
        <v>0</v>
      </c>
      <c r="AF37" s="255">
        <f t="shared" si="22"/>
        <v>0</v>
      </c>
      <c r="AG37" s="83">
        <f t="shared" si="23"/>
        <v>595308.66</v>
      </c>
      <c r="AH37" s="146">
        <f t="shared" si="24"/>
        <v>524266.14</v>
      </c>
      <c r="AI37" s="181">
        <f t="shared" si="25"/>
        <v>524266.14</v>
      </c>
      <c r="AJ37" s="182">
        <f t="shared" si="0"/>
        <v>0.71220974525615666</v>
      </c>
      <c r="AK37" s="183">
        <f t="shared" si="1"/>
        <v>2732602.14</v>
      </c>
      <c r="AL37" s="7">
        <f t="shared" si="2"/>
        <v>4204826.1399999997</v>
      </c>
      <c r="AM37" s="23"/>
      <c r="AN37" s="24"/>
      <c r="AO37" s="104"/>
      <c r="AP37" s="265"/>
      <c r="AQ37" s="278"/>
      <c r="AR37" s="23"/>
      <c r="AS37" s="24"/>
      <c r="AT37" s="104"/>
      <c r="AU37" s="265"/>
      <c r="AV37" s="278"/>
      <c r="AW37" s="23"/>
      <c r="AX37" s="24"/>
      <c r="AY37" s="104"/>
      <c r="AZ37" s="265"/>
      <c r="BA37" s="278"/>
      <c r="BB37" s="23"/>
      <c r="BC37" s="24"/>
      <c r="BD37" s="25"/>
      <c r="BE37" s="265"/>
      <c r="BF37" s="278"/>
      <c r="BG37" s="23"/>
      <c r="BH37" s="24"/>
      <c r="BI37" s="25"/>
      <c r="BJ37" s="265"/>
      <c r="BK37" s="278"/>
      <c r="BL37" s="23"/>
      <c r="BM37" s="93"/>
      <c r="BN37" s="104"/>
      <c r="BO37" s="265"/>
      <c r="BP37" s="278"/>
      <c r="BQ37" s="34"/>
      <c r="BR37" s="35"/>
      <c r="BS37" s="99"/>
      <c r="BT37" s="263"/>
      <c r="BU37" s="278"/>
      <c r="BV37" s="23"/>
      <c r="BW37" s="25"/>
      <c r="BX37" s="104"/>
      <c r="BY37" s="263"/>
      <c r="BZ37" s="278"/>
      <c r="CA37" s="23"/>
      <c r="CB37" s="24"/>
      <c r="CC37" s="104"/>
      <c r="CD37" s="265"/>
      <c r="CE37" s="278"/>
      <c r="CF37" s="23"/>
      <c r="CG37" s="24"/>
      <c r="CH37" s="104"/>
      <c r="CI37" s="265"/>
      <c r="CJ37" s="278"/>
      <c r="CK37" s="23"/>
      <c r="CL37" s="24"/>
      <c r="CM37" s="104"/>
      <c r="CN37" s="265"/>
      <c r="CO37" s="278"/>
      <c r="CP37" s="23"/>
      <c r="CQ37" s="171"/>
      <c r="CR37" s="104"/>
      <c r="CS37" s="263"/>
      <c r="CT37" s="278"/>
      <c r="CU37" s="430"/>
      <c r="CV37" s="431"/>
      <c r="CW37" s="431"/>
      <c r="CX37" s="432"/>
      <c r="CY37" s="23"/>
      <c r="CZ37" s="171"/>
      <c r="DA37" s="171"/>
      <c r="DB37" s="172"/>
      <c r="DC37" s="433"/>
      <c r="DD37" s="65"/>
      <c r="DE37" s="65"/>
      <c r="DF37" s="434"/>
    </row>
    <row r="38" spans="1:110" x14ac:dyDescent="0.25">
      <c r="A38" s="5" t="s">
        <v>40</v>
      </c>
      <c r="B38" s="6">
        <v>33</v>
      </c>
      <c r="C38" s="456">
        <v>1490882</v>
      </c>
      <c r="D38" s="83">
        <f>'Qrtrly Cash Balances'!C35</f>
        <v>-237450.35</v>
      </c>
      <c r="E38" s="35">
        <f>RUTF!$D36</f>
        <v>453114.45</v>
      </c>
      <c r="F38" s="401">
        <f>RUTF!$E36</f>
        <v>497006.72</v>
      </c>
      <c r="G38" s="406">
        <f>RUTF!$F36</f>
        <v>0</v>
      </c>
      <c r="H38" s="155">
        <f>RUTF!$G36</f>
        <v>0</v>
      </c>
      <c r="I38" s="156">
        <f>Federal!$F35+Federal!$J35+Federal!$N35+Federal!$R35</f>
        <v>929308.48</v>
      </c>
      <c r="J38" s="155">
        <f>'Co Contrib'!C35+'Co Contrib'!D35+'Co Contrib'!E35+'Co Contrib'!F35+'Other Rev'!E35+'Other Rev'!H35+'Other Rev'!K35+'Other Rev'!N35</f>
        <v>3567434.96</v>
      </c>
      <c r="K38" s="149">
        <f>-1*(Expenditures!H35+Expenditures!N35+Expenditures!T35+Expenditures!Z35)</f>
        <v>-437877.74</v>
      </c>
      <c r="L38" s="74">
        <f>'Qrtrly Obligations'!U34</f>
        <v>-1437039.56</v>
      </c>
      <c r="M38" s="246">
        <f t="shared" si="3"/>
        <v>7195448.3999999994</v>
      </c>
      <c r="N38" s="248">
        <f t="shared" si="4"/>
        <v>1214799.1500000001</v>
      </c>
      <c r="O38" s="54">
        <f t="shared" si="5"/>
        <v>0</v>
      </c>
      <c r="P38" s="255">
        <f t="shared" si="6"/>
        <v>1552973.7</v>
      </c>
      <c r="Q38" s="246">
        <f t="shared" si="7"/>
        <v>0</v>
      </c>
      <c r="R38" s="248">
        <f t="shared" si="8"/>
        <v>0</v>
      </c>
      <c r="S38" s="54">
        <f t="shared" si="9"/>
        <v>0</v>
      </c>
      <c r="T38" s="255">
        <f t="shared" si="10"/>
        <v>1552973.7</v>
      </c>
      <c r="U38" s="246">
        <f t="shared" si="11"/>
        <v>0</v>
      </c>
      <c r="V38" s="248">
        <f t="shared" si="12"/>
        <v>0</v>
      </c>
      <c r="W38" s="54">
        <f t="shared" si="13"/>
        <v>0</v>
      </c>
      <c r="X38" s="255">
        <f t="shared" si="14"/>
        <v>0</v>
      </c>
      <c r="Y38" s="246">
        <f t="shared" si="15"/>
        <v>7195448.3999999994</v>
      </c>
      <c r="Z38" s="248">
        <f t="shared" si="16"/>
        <v>1214799.1500000001</v>
      </c>
      <c r="AA38" s="54">
        <f t="shared" si="17"/>
        <v>0</v>
      </c>
      <c r="AB38" s="255">
        <f t="shared" si="18"/>
        <v>0</v>
      </c>
      <c r="AC38" s="246">
        <f t="shared" si="19"/>
        <v>0</v>
      </c>
      <c r="AD38" s="248">
        <f t="shared" si="20"/>
        <v>0</v>
      </c>
      <c r="AE38" s="54">
        <f t="shared" si="21"/>
        <v>0</v>
      </c>
      <c r="AF38" s="255">
        <f t="shared" si="22"/>
        <v>0</v>
      </c>
      <c r="AG38" s="83">
        <f t="shared" si="23"/>
        <v>4771536.5199999996</v>
      </c>
      <c r="AH38" s="146">
        <f t="shared" si="24"/>
        <v>3334496.9599999995</v>
      </c>
      <c r="AI38" s="181">
        <f t="shared" si="25"/>
        <v>2119697.8099999996</v>
      </c>
      <c r="AJ38" s="182">
        <f t="shared" ref="AJ38:AJ69" si="26">AI38/C38</f>
        <v>1.4217743657781097</v>
      </c>
      <c r="AK38" s="183">
        <f t="shared" ref="AK38:AK69" si="27">(C38*3)+AI38</f>
        <v>6592343.8099999996</v>
      </c>
      <c r="AL38" s="7">
        <f t="shared" ref="AL38:AL69" si="28">(C38*5)+AI38</f>
        <v>9574107.8099999987</v>
      </c>
      <c r="AM38" s="34"/>
      <c r="AN38" s="35"/>
      <c r="AO38" s="104"/>
      <c r="AP38" s="265"/>
      <c r="AQ38" s="278">
        <v>1552973.7</v>
      </c>
      <c r="AR38" s="23"/>
      <c r="AS38" s="24"/>
      <c r="AT38" s="104"/>
      <c r="AU38" s="265"/>
      <c r="AV38" s="278"/>
      <c r="AW38" s="23"/>
      <c r="AX38" s="24"/>
      <c r="AY38" s="104"/>
      <c r="AZ38" s="265"/>
      <c r="BA38" s="278"/>
      <c r="BB38" s="23"/>
      <c r="BC38" s="24"/>
      <c r="BD38" s="25"/>
      <c r="BE38" s="265"/>
      <c r="BF38" s="278"/>
      <c r="BG38" s="23"/>
      <c r="BH38" s="24"/>
      <c r="BI38" s="25"/>
      <c r="BJ38" s="265"/>
      <c r="BK38" s="278"/>
      <c r="BL38" s="23"/>
      <c r="BM38" s="93"/>
      <c r="BN38" s="104"/>
      <c r="BO38" s="265"/>
      <c r="BP38" s="278"/>
      <c r="BQ38" s="34"/>
      <c r="BR38" s="35"/>
      <c r="BS38" s="99"/>
      <c r="BT38" s="263"/>
      <c r="BU38" s="278"/>
      <c r="BV38" s="34">
        <f>1189636.84+6005811.56</f>
        <v>7195448.3999999994</v>
      </c>
      <c r="BW38" s="35">
        <f>287636.84+927162.31</f>
        <v>1214799.1500000001</v>
      </c>
      <c r="BX38" s="104"/>
      <c r="BY38" s="263"/>
      <c r="BZ38" s="278"/>
      <c r="CA38" s="34"/>
      <c r="CB38" s="35"/>
      <c r="CC38" s="104"/>
      <c r="CD38" s="265"/>
      <c r="CE38" s="278"/>
      <c r="CF38" s="34"/>
      <c r="CG38" s="35"/>
      <c r="CH38" s="104"/>
      <c r="CI38" s="265"/>
      <c r="CJ38" s="278"/>
      <c r="CK38" s="23"/>
      <c r="CL38" s="24"/>
      <c r="CM38" s="104"/>
      <c r="CN38" s="265"/>
      <c r="CO38" s="278"/>
      <c r="CP38" s="23"/>
      <c r="CQ38" s="171"/>
      <c r="CR38" s="104"/>
      <c r="CS38" s="263"/>
      <c r="CT38" s="278"/>
      <c r="CU38" s="430"/>
      <c r="CV38" s="431"/>
      <c r="CW38" s="431"/>
      <c r="CX38" s="432"/>
      <c r="CY38" s="23"/>
      <c r="CZ38" s="171"/>
      <c r="DA38" s="171"/>
      <c r="DB38" s="172"/>
      <c r="DC38" s="433"/>
      <c r="DD38" s="65"/>
      <c r="DE38" s="65"/>
      <c r="DF38" s="434"/>
    </row>
    <row r="39" spans="1:110" x14ac:dyDescent="0.25">
      <c r="A39" s="5" t="s">
        <v>41</v>
      </c>
      <c r="B39" s="6">
        <v>34</v>
      </c>
      <c r="C39" s="456">
        <v>1118831</v>
      </c>
      <c r="D39" s="83">
        <f>'Qrtrly Cash Balances'!C36</f>
        <v>937469.76</v>
      </c>
      <c r="E39" s="35">
        <f>RUTF!$D37</f>
        <v>340039.43</v>
      </c>
      <c r="F39" s="401">
        <f>RUTF!$E37</f>
        <v>372978.35</v>
      </c>
      <c r="G39" s="406">
        <f>RUTF!$F37</f>
        <v>0</v>
      </c>
      <c r="H39" s="155">
        <f>RUTF!$G37</f>
        <v>0</v>
      </c>
      <c r="I39" s="156">
        <f>Federal!$F36+Federal!$J36+Federal!$N36+Federal!$R36</f>
        <v>0</v>
      </c>
      <c r="J39" s="155">
        <f>'Co Contrib'!C36+'Co Contrib'!D36+'Co Contrib'!E36+'Co Contrib'!F36+'Other Rev'!E36+'Other Rev'!H36+'Other Rev'!K36+'Other Rev'!N36</f>
        <v>0</v>
      </c>
      <c r="K39" s="149">
        <f>-1*(Expenditures!H36+Expenditures!N36+Expenditures!T36+Expenditures!Z36)</f>
        <v>0</v>
      </c>
      <c r="L39" s="74">
        <f>'Qrtrly Obligations'!U35</f>
        <v>0</v>
      </c>
      <c r="M39" s="246">
        <f t="shared" si="3"/>
        <v>146829.74</v>
      </c>
      <c r="N39" s="248">
        <f t="shared" si="4"/>
        <v>0</v>
      </c>
      <c r="O39" s="54">
        <f t="shared" si="5"/>
        <v>146829.74</v>
      </c>
      <c r="P39" s="255">
        <f t="shared" si="6"/>
        <v>0</v>
      </c>
      <c r="Q39" s="246">
        <f t="shared" si="7"/>
        <v>0</v>
      </c>
      <c r="R39" s="248">
        <f t="shared" si="8"/>
        <v>0</v>
      </c>
      <c r="S39" s="54">
        <f t="shared" si="9"/>
        <v>0</v>
      </c>
      <c r="T39" s="255">
        <f t="shared" si="10"/>
        <v>0</v>
      </c>
      <c r="U39" s="246">
        <f t="shared" si="11"/>
        <v>0</v>
      </c>
      <c r="V39" s="248">
        <f t="shared" si="12"/>
        <v>0</v>
      </c>
      <c r="W39" s="54">
        <f t="shared" si="13"/>
        <v>0</v>
      </c>
      <c r="X39" s="255">
        <f t="shared" si="14"/>
        <v>0</v>
      </c>
      <c r="Y39" s="246">
        <f t="shared" si="15"/>
        <v>146829.74</v>
      </c>
      <c r="Z39" s="248">
        <f t="shared" si="16"/>
        <v>0</v>
      </c>
      <c r="AA39" s="54">
        <f t="shared" si="17"/>
        <v>146829.74</v>
      </c>
      <c r="AB39" s="255">
        <f t="shared" si="18"/>
        <v>0</v>
      </c>
      <c r="AC39" s="246">
        <f t="shared" si="19"/>
        <v>0</v>
      </c>
      <c r="AD39" s="248">
        <f t="shared" si="20"/>
        <v>0</v>
      </c>
      <c r="AE39" s="54">
        <f t="shared" si="21"/>
        <v>0</v>
      </c>
      <c r="AF39" s="255">
        <f t="shared" si="22"/>
        <v>0</v>
      </c>
      <c r="AG39" s="83">
        <f t="shared" si="23"/>
        <v>1650487.54</v>
      </c>
      <c r="AH39" s="146">
        <f t="shared" si="24"/>
        <v>1650487.54</v>
      </c>
      <c r="AI39" s="181">
        <f t="shared" si="25"/>
        <v>1503657.8</v>
      </c>
      <c r="AJ39" s="182">
        <f t="shared" si="26"/>
        <v>1.3439543595055912</v>
      </c>
      <c r="AK39" s="183">
        <f t="shared" si="27"/>
        <v>4860150.8</v>
      </c>
      <c r="AL39" s="7">
        <f t="shared" si="28"/>
        <v>7097812.7999999998</v>
      </c>
      <c r="AM39" s="23"/>
      <c r="AN39" s="24"/>
      <c r="AO39" s="104"/>
      <c r="AP39" s="265"/>
      <c r="AQ39" s="278"/>
      <c r="AR39" s="23"/>
      <c r="AS39" s="24"/>
      <c r="AT39" s="104"/>
      <c r="AU39" s="265"/>
      <c r="AV39" s="278"/>
      <c r="AW39" s="23"/>
      <c r="AX39" s="24"/>
      <c r="AY39" s="104"/>
      <c r="AZ39" s="265"/>
      <c r="BA39" s="278"/>
      <c r="BB39" s="23"/>
      <c r="BC39" s="24"/>
      <c r="BD39" s="25"/>
      <c r="BE39" s="265"/>
      <c r="BF39" s="278"/>
      <c r="BG39" s="23"/>
      <c r="BH39" s="24"/>
      <c r="BI39" s="25"/>
      <c r="BJ39" s="265"/>
      <c r="BK39" s="278"/>
      <c r="BL39" s="23"/>
      <c r="BM39" s="93"/>
      <c r="BN39" s="104"/>
      <c r="BO39" s="265"/>
      <c r="BP39" s="278"/>
      <c r="BQ39" s="34"/>
      <c r="BR39" s="35"/>
      <c r="BS39" s="99"/>
      <c r="BT39" s="263"/>
      <c r="BU39" s="278"/>
      <c r="BV39" s="34">
        <v>146829.74</v>
      </c>
      <c r="BW39" s="35"/>
      <c r="BX39" s="99">
        <v>146829.74</v>
      </c>
      <c r="BY39" s="263"/>
      <c r="BZ39" s="278"/>
      <c r="CA39" s="23"/>
      <c r="CB39" s="24"/>
      <c r="CC39" s="104"/>
      <c r="CD39" s="265"/>
      <c r="CE39" s="278"/>
      <c r="CF39" s="34"/>
      <c r="CG39" s="24"/>
      <c r="CH39" s="99"/>
      <c r="CI39" s="265"/>
      <c r="CJ39" s="278"/>
      <c r="CK39" s="23"/>
      <c r="CL39" s="24"/>
      <c r="CM39" s="104"/>
      <c r="CN39" s="265"/>
      <c r="CO39" s="278"/>
      <c r="CP39" s="23"/>
      <c r="CQ39" s="171"/>
      <c r="CR39" s="104"/>
      <c r="CS39" s="263"/>
      <c r="CT39" s="278"/>
      <c r="CU39" s="430"/>
      <c r="CV39" s="431"/>
      <c r="CW39" s="431"/>
      <c r="CX39" s="432"/>
      <c r="CY39" s="23"/>
      <c r="CZ39" s="171"/>
      <c r="DA39" s="171"/>
      <c r="DB39" s="172"/>
      <c r="DC39" s="433"/>
      <c r="DD39" s="65"/>
      <c r="DE39" s="65"/>
      <c r="DF39" s="434"/>
    </row>
    <row r="40" spans="1:110" x14ac:dyDescent="0.25">
      <c r="A40" s="9" t="s">
        <v>42</v>
      </c>
      <c r="B40" s="17">
        <v>35</v>
      </c>
      <c r="C40" s="457">
        <v>1247793</v>
      </c>
      <c r="D40" s="84">
        <f>'Qrtrly Cash Balances'!C37</f>
        <v>-550267.55000000005</v>
      </c>
      <c r="E40" s="33">
        <f>RUTF!$D38</f>
        <v>379234.15</v>
      </c>
      <c r="F40" s="402">
        <f>RUTF!$E38</f>
        <v>415969.79</v>
      </c>
      <c r="G40" s="160">
        <f>RUTF!$F38</f>
        <v>0</v>
      </c>
      <c r="H40" s="159">
        <f>RUTF!$G38</f>
        <v>0</v>
      </c>
      <c r="I40" s="160">
        <f>Federal!$F37+Federal!$J37+Federal!$N37+Federal!$R37</f>
        <v>1552</v>
      </c>
      <c r="J40" s="159">
        <f>'Co Contrib'!C37+'Co Contrib'!D37+'Co Contrib'!E37+'Co Contrib'!F37+'Other Rev'!E37+'Other Rev'!H37+'Other Rev'!K37+'Other Rev'!N37</f>
        <v>0</v>
      </c>
      <c r="K40" s="151">
        <f>-1*(Expenditures!H37+Expenditures!N37+Expenditures!T37+Expenditures!Z37)</f>
        <v>-122360.15</v>
      </c>
      <c r="L40" s="56">
        <f>'Qrtrly Obligations'!U36</f>
        <v>0</v>
      </c>
      <c r="M40" s="249">
        <f t="shared" si="3"/>
        <v>0</v>
      </c>
      <c r="N40" s="250">
        <f t="shared" si="4"/>
        <v>0</v>
      </c>
      <c r="O40" s="253">
        <f t="shared" si="5"/>
        <v>0</v>
      </c>
      <c r="P40" s="256">
        <f t="shared" si="6"/>
        <v>0</v>
      </c>
      <c r="Q40" s="249">
        <f t="shared" si="7"/>
        <v>0</v>
      </c>
      <c r="R40" s="250">
        <f t="shared" si="8"/>
        <v>0</v>
      </c>
      <c r="S40" s="253">
        <f t="shared" si="9"/>
        <v>0</v>
      </c>
      <c r="T40" s="256">
        <f t="shared" si="10"/>
        <v>0</v>
      </c>
      <c r="U40" s="249">
        <f t="shared" si="11"/>
        <v>0</v>
      </c>
      <c r="V40" s="250">
        <f t="shared" si="12"/>
        <v>0</v>
      </c>
      <c r="W40" s="253">
        <f t="shared" si="13"/>
        <v>0</v>
      </c>
      <c r="X40" s="256">
        <f t="shared" si="14"/>
        <v>0</v>
      </c>
      <c r="Y40" s="249">
        <f t="shared" si="15"/>
        <v>0</v>
      </c>
      <c r="Z40" s="250">
        <f t="shared" si="16"/>
        <v>0</v>
      </c>
      <c r="AA40" s="253">
        <f t="shared" si="17"/>
        <v>0</v>
      </c>
      <c r="AB40" s="256">
        <f t="shared" si="18"/>
        <v>0</v>
      </c>
      <c r="AC40" s="249">
        <f t="shared" si="19"/>
        <v>0</v>
      </c>
      <c r="AD40" s="250">
        <f t="shared" si="20"/>
        <v>0</v>
      </c>
      <c r="AE40" s="253">
        <f t="shared" si="21"/>
        <v>0</v>
      </c>
      <c r="AF40" s="256">
        <f t="shared" si="22"/>
        <v>0</v>
      </c>
      <c r="AG40" s="84">
        <f t="shared" si="23"/>
        <v>124128.23999999996</v>
      </c>
      <c r="AH40" s="147">
        <f t="shared" si="24"/>
        <v>124128.23999999996</v>
      </c>
      <c r="AI40" s="184">
        <f t="shared" si="25"/>
        <v>124128.23999999996</v>
      </c>
      <c r="AJ40" s="185">
        <f t="shared" si="26"/>
        <v>9.9478230764237313E-2</v>
      </c>
      <c r="AK40" s="183">
        <f t="shared" si="27"/>
        <v>3867507.2399999998</v>
      </c>
      <c r="AL40" s="18">
        <f t="shared" si="28"/>
        <v>6363093.2400000002</v>
      </c>
      <c r="AM40" s="26"/>
      <c r="AN40" s="27"/>
      <c r="AO40" s="269"/>
      <c r="AP40" s="267"/>
      <c r="AQ40" s="174"/>
      <c r="AR40" s="26"/>
      <c r="AS40" s="28"/>
      <c r="AT40" s="269"/>
      <c r="AU40" s="267"/>
      <c r="AV40" s="174"/>
      <c r="AW40" s="26"/>
      <c r="AX40" s="27"/>
      <c r="AY40" s="269"/>
      <c r="AZ40" s="267"/>
      <c r="BA40" s="174"/>
      <c r="BB40" s="26"/>
      <c r="BC40" s="27"/>
      <c r="BD40" s="28"/>
      <c r="BE40" s="267"/>
      <c r="BF40" s="174"/>
      <c r="BG40" s="26"/>
      <c r="BH40" s="27"/>
      <c r="BI40" s="28"/>
      <c r="BJ40" s="267"/>
      <c r="BK40" s="174"/>
      <c r="BL40" s="26"/>
      <c r="BM40" s="173"/>
      <c r="BN40" s="269"/>
      <c r="BO40" s="267"/>
      <c r="BP40" s="174"/>
      <c r="BQ40" s="37"/>
      <c r="BR40" s="33"/>
      <c r="BS40" s="260"/>
      <c r="BT40" s="264"/>
      <c r="BU40" s="174"/>
      <c r="BV40" s="37"/>
      <c r="BW40" s="33"/>
      <c r="BX40" s="269"/>
      <c r="BY40" s="264"/>
      <c r="BZ40" s="174"/>
      <c r="CA40" s="26"/>
      <c r="CB40" s="33"/>
      <c r="CC40" s="260"/>
      <c r="CD40" s="267"/>
      <c r="CE40" s="174"/>
      <c r="CF40" s="26"/>
      <c r="CG40" s="27"/>
      <c r="CH40" s="269"/>
      <c r="CI40" s="267"/>
      <c r="CJ40" s="174"/>
      <c r="CK40" s="26"/>
      <c r="CL40" s="27"/>
      <c r="CM40" s="272"/>
      <c r="CN40" s="267"/>
      <c r="CO40" s="174"/>
      <c r="CP40" s="37"/>
      <c r="CQ40" s="365"/>
      <c r="CR40" s="260"/>
      <c r="CS40" s="264"/>
      <c r="CT40" s="174"/>
      <c r="CU40" s="437"/>
      <c r="CV40" s="438"/>
      <c r="CW40" s="438"/>
      <c r="CX40" s="439"/>
      <c r="CY40" s="26"/>
      <c r="CZ40" s="173"/>
      <c r="DA40" s="173"/>
      <c r="DB40" s="174"/>
      <c r="DC40" s="433"/>
      <c r="DD40" s="65"/>
      <c r="DE40" s="65"/>
      <c r="DF40" s="434"/>
    </row>
    <row r="41" spans="1:110" x14ac:dyDescent="0.25">
      <c r="A41" s="5" t="s">
        <v>43</v>
      </c>
      <c r="B41" s="6">
        <v>36</v>
      </c>
      <c r="C41" s="456">
        <v>1063169</v>
      </c>
      <c r="D41" s="83">
        <f>'Qrtrly Cash Balances'!C38</f>
        <v>1946613.53</v>
      </c>
      <c r="E41" s="35">
        <f>RUTF!$D39</f>
        <v>323122.45</v>
      </c>
      <c r="F41" s="401">
        <f>RUTF!$E39</f>
        <v>354422.67</v>
      </c>
      <c r="G41" s="406">
        <f>RUTF!$F39</f>
        <v>0</v>
      </c>
      <c r="H41" s="155">
        <f>RUTF!$G39</f>
        <v>0</v>
      </c>
      <c r="I41" s="156">
        <f>Federal!$F38+Federal!$J38+Federal!$N38+Federal!$R38</f>
        <v>0</v>
      </c>
      <c r="J41" s="155">
        <f>'Co Contrib'!C38+'Co Contrib'!D38+'Co Contrib'!E38+'Co Contrib'!F38+'Other Rev'!E38+'Other Rev'!H38+'Other Rev'!K38+'Other Rev'!N38</f>
        <v>0</v>
      </c>
      <c r="K41" s="149">
        <f>-1*(Expenditures!H38+Expenditures!N38+Expenditures!T38+Expenditures!Z38)</f>
        <v>-87179.209999999992</v>
      </c>
      <c r="L41" s="74">
        <f>'Qrtrly Obligations'!U37</f>
        <v>-3660387.78</v>
      </c>
      <c r="M41" s="246">
        <f t="shared" si="3"/>
        <v>1662719.48</v>
      </c>
      <c r="N41" s="248">
        <f t="shared" si="4"/>
        <v>0</v>
      </c>
      <c r="O41" s="54">
        <f t="shared" si="5"/>
        <v>1662719.48</v>
      </c>
      <c r="P41" s="255">
        <f t="shared" si="6"/>
        <v>1862765.5</v>
      </c>
      <c r="Q41" s="246">
        <f t="shared" si="7"/>
        <v>249450</v>
      </c>
      <c r="R41" s="248">
        <f t="shared" si="8"/>
        <v>0</v>
      </c>
      <c r="S41" s="54">
        <f t="shared" si="9"/>
        <v>249450</v>
      </c>
      <c r="T41" s="255">
        <f t="shared" si="10"/>
        <v>1862765.5</v>
      </c>
      <c r="U41" s="246">
        <f t="shared" si="11"/>
        <v>0</v>
      </c>
      <c r="V41" s="248">
        <f t="shared" si="12"/>
        <v>0</v>
      </c>
      <c r="W41" s="54">
        <f t="shared" si="13"/>
        <v>0</v>
      </c>
      <c r="X41" s="255">
        <f t="shared" si="14"/>
        <v>0</v>
      </c>
      <c r="Y41" s="246">
        <f t="shared" si="15"/>
        <v>1413269.48</v>
      </c>
      <c r="Z41" s="248">
        <f t="shared" si="16"/>
        <v>0</v>
      </c>
      <c r="AA41" s="54">
        <f t="shared" si="17"/>
        <v>1413269.48</v>
      </c>
      <c r="AB41" s="255">
        <f t="shared" si="18"/>
        <v>0</v>
      </c>
      <c r="AC41" s="246">
        <f t="shared" si="19"/>
        <v>0</v>
      </c>
      <c r="AD41" s="248">
        <f t="shared" si="20"/>
        <v>0</v>
      </c>
      <c r="AE41" s="54">
        <f t="shared" si="21"/>
        <v>0</v>
      </c>
      <c r="AF41" s="255">
        <f t="shared" si="22"/>
        <v>0</v>
      </c>
      <c r="AG41" s="83">
        <f t="shared" si="23"/>
        <v>2536979.44</v>
      </c>
      <c r="AH41" s="146">
        <f t="shared" si="24"/>
        <v>-1123408.3399999999</v>
      </c>
      <c r="AI41" s="181">
        <f t="shared" si="25"/>
        <v>-2536677.8199999998</v>
      </c>
      <c r="AJ41" s="182">
        <f t="shared" si="26"/>
        <v>-2.3859591654760437</v>
      </c>
      <c r="AK41" s="186">
        <f t="shared" si="27"/>
        <v>652829.18000000017</v>
      </c>
      <c r="AL41" s="7">
        <f t="shared" si="28"/>
        <v>2779167.18</v>
      </c>
      <c r="AM41" s="23"/>
      <c r="AN41" s="24"/>
      <c r="AO41" s="104"/>
      <c r="AP41" s="265"/>
      <c r="AQ41" s="278">
        <v>1862765.5</v>
      </c>
      <c r="AR41" s="23"/>
      <c r="AS41" s="24"/>
      <c r="AT41" s="104"/>
      <c r="AU41" s="265"/>
      <c r="AV41" s="278"/>
      <c r="AW41" s="23"/>
      <c r="AX41" s="24"/>
      <c r="AY41" s="104"/>
      <c r="AZ41" s="265"/>
      <c r="BA41" s="278"/>
      <c r="BB41" s="23"/>
      <c r="BC41" s="24"/>
      <c r="BD41" s="25"/>
      <c r="BE41" s="265"/>
      <c r="BF41" s="278"/>
      <c r="BG41" s="23"/>
      <c r="BH41" s="24"/>
      <c r="BI41" s="25"/>
      <c r="BJ41" s="265"/>
      <c r="BK41" s="278"/>
      <c r="BL41" s="23"/>
      <c r="BM41" s="93"/>
      <c r="BN41" s="104"/>
      <c r="BO41" s="265"/>
      <c r="BP41" s="278"/>
      <c r="BQ41" s="34">
        <f>614541.7+364437+434290.78</f>
        <v>1413269.48</v>
      </c>
      <c r="BR41" s="35"/>
      <c r="BS41" s="99">
        <f>614541.7+364437+434290.78</f>
        <v>1413269.48</v>
      </c>
      <c r="BT41" s="263"/>
      <c r="BU41" s="278"/>
      <c r="BV41" s="23"/>
      <c r="BW41" s="24"/>
      <c r="BX41" s="104"/>
      <c r="BY41" s="263"/>
      <c r="BZ41" s="278"/>
      <c r="CA41" s="34"/>
      <c r="CB41" s="24"/>
      <c r="CC41" s="99"/>
      <c r="CD41" s="265"/>
      <c r="CE41" s="278"/>
      <c r="CF41" s="34"/>
      <c r="CG41" s="35"/>
      <c r="CH41" s="99"/>
      <c r="CI41" s="265"/>
      <c r="CJ41" s="278"/>
      <c r="CK41" s="34"/>
      <c r="CL41" s="35"/>
      <c r="CM41" s="104"/>
      <c r="CN41" s="265"/>
      <c r="CO41" s="278"/>
      <c r="CP41" s="23"/>
      <c r="CQ41" s="171"/>
      <c r="CR41" s="104"/>
      <c r="CS41" s="263"/>
      <c r="CT41" s="278"/>
      <c r="CU41" s="430"/>
      <c r="CV41" s="431"/>
      <c r="CW41" s="431"/>
      <c r="CX41" s="432"/>
      <c r="CY41" s="23">
        <v>249450</v>
      </c>
      <c r="CZ41" s="171"/>
      <c r="DA41" s="171"/>
      <c r="DB41" s="172"/>
      <c r="DC41" s="443" t="s">
        <v>343</v>
      </c>
      <c r="DD41" s="65"/>
      <c r="DE41" s="65"/>
      <c r="DF41" s="434"/>
    </row>
    <row r="42" spans="1:110" x14ac:dyDescent="0.25">
      <c r="A42" s="5" t="s">
        <v>44</v>
      </c>
      <c r="B42" s="6">
        <v>37</v>
      </c>
      <c r="C42" s="456">
        <v>1127372</v>
      </c>
      <c r="D42" s="83">
        <f>'Qrtrly Cash Balances'!C39</f>
        <v>3754963.66</v>
      </c>
      <c r="E42" s="35">
        <f>RUTF!$D40</f>
        <v>342635.27</v>
      </c>
      <c r="F42" s="401">
        <f>RUTF!$E40</f>
        <v>375825.65</v>
      </c>
      <c r="G42" s="406">
        <f>RUTF!$F40</f>
        <v>0</v>
      </c>
      <c r="H42" s="155">
        <f>RUTF!$G40</f>
        <v>0</v>
      </c>
      <c r="I42" s="156">
        <f>Federal!$F39+Federal!$J39+Federal!$N39+Federal!$R39</f>
        <v>1246970.4100000001</v>
      </c>
      <c r="J42" s="155">
        <f>'Co Contrib'!C39+'Co Contrib'!D39+'Co Contrib'!E39+'Co Contrib'!F39+'Other Rev'!E39+'Other Rev'!H39+'Other Rev'!K39+'Other Rev'!N39</f>
        <v>0</v>
      </c>
      <c r="K42" s="149">
        <f>-1*(Expenditures!H39+Expenditures!N39+Expenditures!T39+Expenditures!Z39)</f>
        <v>-3113662.13</v>
      </c>
      <c r="L42" s="74">
        <f>'Qrtrly Obligations'!U38</f>
        <v>-1900071.07</v>
      </c>
      <c r="M42" s="246">
        <f t="shared" si="3"/>
        <v>1923438.77</v>
      </c>
      <c r="N42" s="248">
        <f t="shared" si="4"/>
        <v>0</v>
      </c>
      <c r="O42" s="54">
        <f t="shared" si="5"/>
        <v>1923438.77</v>
      </c>
      <c r="P42" s="255">
        <f t="shared" si="6"/>
        <v>2944372.91</v>
      </c>
      <c r="Q42" s="246">
        <f t="shared" si="7"/>
        <v>0</v>
      </c>
      <c r="R42" s="248">
        <f t="shared" si="8"/>
        <v>0</v>
      </c>
      <c r="S42" s="54">
        <f t="shared" si="9"/>
        <v>0</v>
      </c>
      <c r="T42" s="255">
        <f t="shared" si="10"/>
        <v>2088602.35</v>
      </c>
      <c r="U42" s="246">
        <f t="shared" si="11"/>
        <v>0</v>
      </c>
      <c r="V42" s="248">
        <f t="shared" si="12"/>
        <v>0</v>
      </c>
      <c r="W42" s="54">
        <f t="shared" si="13"/>
        <v>0</v>
      </c>
      <c r="X42" s="255">
        <f t="shared" si="14"/>
        <v>0</v>
      </c>
      <c r="Y42" s="246">
        <f t="shared" si="15"/>
        <v>1923438.77</v>
      </c>
      <c r="Z42" s="248">
        <f t="shared" si="16"/>
        <v>0</v>
      </c>
      <c r="AA42" s="54">
        <f t="shared" si="17"/>
        <v>1923438.77</v>
      </c>
      <c r="AB42" s="255">
        <f t="shared" si="18"/>
        <v>855770.56</v>
      </c>
      <c r="AC42" s="246">
        <f t="shared" si="19"/>
        <v>0</v>
      </c>
      <c r="AD42" s="248">
        <f t="shared" si="20"/>
        <v>0</v>
      </c>
      <c r="AE42" s="54">
        <f t="shared" si="21"/>
        <v>0</v>
      </c>
      <c r="AF42" s="255">
        <f t="shared" si="22"/>
        <v>0</v>
      </c>
      <c r="AG42" s="83">
        <f t="shared" si="23"/>
        <v>2606732.8600000003</v>
      </c>
      <c r="AH42" s="146">
        <f t="shared" si="24"/>
        <v>706661.79000000027</v>
      </c>
      <c r="AI42" s="181">
        <f t="shared" si="25"/>
        <v>-2072547.5399999998</v>
      </c>
      <c r="AJ42" s="182">
        <f t="shared" si="26"/>
        <v>-1.8383883403171268</v>
      </c>
      <c r="AK42" s="183">
        <f t="shared" si="27"/>
        <v>1309568.4600000002</v>
      </c>
      <c r="AL42" s="7">
        <f t="shared" si="28"/>
        <v>3564312.46</v>
      </c>
      <c r="AM42" s="23"/>
      <c r="AN42" s="24"/>
      <c r="AO42" s="104"/>
      <c r="AP42" s="265"/>
      <c r="AQ42" s="278">
        <v>2088602.35</v>
      </c>
      <c r="AR42" s="23"/>
      <c r="AS42" s="24"/>
      <c r="AT42" s="104"/>
      <c r="AU42" s="265"/>
      <c r="AV42" s="278"/>
      <c r="AW42" s="23"/>
      <c r="AX42" s="24"/>
      <c r="AY42" s="104"/>
      <c r="AZ42" s="265"/>
      <c r="BA42" s="278"/>
      <c r="BB42" s="23"/>
      <c r="BC42" s="24"/>
      <c r="BD42" s="25"/>
      <c r="BE42" s="265"/>
      <c r="BF42" s="278"/>
      <c r="BG42" s="23"/>
      <c r="BH42" s="24"/>
      <c r="BI42" s="25"/>
      <c r="BJ42" s="265"/>
      <c r="BK42" s="278"/>
      <c r="BL42" s="23"/>
      <c r="BM42" s="93"/>
      <c r="BN42" s="104"/>
      <c r="BO42" s="265"/>
      <c r="BP42" s="278"/>
      <c r="BQ42" s="34"/>
      <c r="BR42" s="35"/>
      <c r="BS42" s="99"/>
      <c r="BT42" s="263"/>
      <c r="BU42" s="278"/>
      <c r="BV42" s="23">
        <v>1799128.4</v>
      </c>
      <c r="BW42" s="24"/>
      <c r="BX42" s="104">
        <v>1799128.4</v>
      </c>
      <c r="BY42" s="263"/>
      <c r="BZ42" s="278"/>
      <c r="CA42" s="23">
        <v>124310.37</v>
      </c>
      <c r="CB42" s="24"/>
      <c r="CC42" s="104">
        <v>124310.37</v>
      </c>
      <c r="CD42" s="265"/>
      <c r="CE42" s="278">
        <v>855770.56</v>
      </c>
      <c r="CF42" s="23"/>
      <c r="CG42" s="24"/>
      <c r="CH42" s="104"/>
      <c r="CI42" s="265"/>
      <c r="CJ42" s="278"/>
      <c r="CK42" s="23"/>
      <c r="CL42" s="24"/>
      <c r="CM42" s="104"/>
      <c r="CN42" s="265"/>
      <c r="CO42" s="278"/>
      <c r="CP42" s="34"/>
      <c r="CQ42" s="171"/>
      <c r="CR42" s="99"/>
      <c r="CS42" s="263"/>
      <c r="CT42" s="278"/>
      <c r="CU42" s="430"/>
      <c r="CV42" s="431"/>
      <c r="CW42" s="431"/>
      <c r="CX42" s="432"/>
      <c r="CY42" s="23"/>
      <c r="CZ42" s="171"/>
      <c r="DA42" s="171"/>
      <c r="DB42" s="172"/>
      <c r="DC42" s="433"/>
      <c r="DD42" s="65"/>
      <c r="DE42" s="65"/>
      <c r="DF42" s="434"/>
    </row>
    <row r="43" spans="1:110" x14ac:dyDescent="0.25">
      <c r="A43" s="5" t="s">
        <v>45</v>
      </c>
      <c r="B43" s="6">
        <v>38</v>
      </c>
      <c r="C43" s="456">
        <v>1130770</v>
      </c>
      <c r="D43" s="83">
        <f>'Qrtrly Cash Balances'!C40</f>
        <v>-1773711.33</v>
      </c>
      <c r="E43" s="35">
        <f>RUTF!$D41</f>
        <v>343667.8</v>
      </c>
      <c r="F43" s="401">
        <f>RUTF!$E41</f>
        <v>376958.2</v>
      </c>
      <c r="G43" s="406">
        <f>RUTF!$F41</f>
        <v>0</v>
      </c>
      <c r="H43" s="155">
        <f>RUTF!$G41</f>
        <v>0</v>
      </c>
      <c r="I43" s="156">
        <f>Federal!$F40+Federal!$J40+Federal!$N40+Federal!$R40</f>
        <v>134128.93</v>
      </c>
      <c r="J43" s="155">
        <f>'Co Contrib'!C40+'Co Contrib'!D40+'Co Contrib'!E40+'Co Contrib'!F40+'Other Rev'!E40+'Other Rev'!H40+'Other Rev'!K40+'Other Rev'!N40</f>
        <v>0</v>
      </c>
      <c r="K43" s="149">
        <f>-1*(Expenditures!H40+Expenditures!N40+Expenditures!T40+Expenditures!Z40)</f>
        <v>-428228.09</v>
      </c>
      <c r="L43" s="74">
        <f>'Qrtrly Obligations'!U39</f>
        <v>-2140.88</v>
      </c>
      <c r="M43" s="246">
        <f t="shared" si="3"/>
        <v>0</v>
      </c>
      <c r="N43" s="248">
        <f t="shared" si="4"/>
        <v>0</v>
      </c>
      <c r="O43" s="54">
        <f t="shared" si="5"/>
        <v>0</v>
      </c>
      <c r="P43" s="255">
        <f t="shared" si="6"/>
        <v>0</v>
      </c>
      <c r="Q43" s="246">
        <f t="shared" si="7"/>
        <v>0</v>
      </c>
      <c r="R43" s="248">
        <f t="shared" si="8"/>
        <v>0</v>
      </c>
      <c r="S43" s="54">
        <f t="shared" si="9"/>
        <v>0</v>
      </c>
      <c r="T43" s="255">
        <f t="shared" si="10"/>
        <v>0</v>
      </c>
      <c r="U43" s="246">
        <f t="shared" si="11"/>
        <v>0</v>
      </c>
      <c r="V43" s="248">
        <f t="shared" si="12"/>
        <v>0</v>
      </c>
      <c r="W43" s="54">
        <f t="shared" si="13"/>
        <v>0</v>
      </c>
      <c r="X43" s="255">
        <f t="shared" si="14"/>
        <v>0</v>
      </c>
      <c r="Y43" s="246">
        <f t="shared" si="15"/>
        <v>0</v>
      </c>
      <c r="Z43" s="248">
        <f t="shared" si="16"/>
        <v>0</v>
      </c>
      <c r="AA43" s="54">
        <f t="shared" si="17"/>
        <v>0</v>
      </c>
      <c r="AB43" s="255">
        <f t="shared" si="18"/>
        <v>0</v>
      </c>
      <c r="AC43" s="246">
        <f t="shared" si="19"/>
        <v>0</v>
      </c>
      <c r="AD43" s="248">
        <f t="shared" si="20"/>
        <v>0</v>
      </c>
      <c r="AE43" s="54">
        <f t="shared" si="21"/>
        <v>0</v>
      </c>
      <c r="AF43" s="255">
        <f t="shared" si="22"/>
        <v>0</v>
      </c>
      <c r="AG43" s="83">
        <f t="shared" si="23"/>
        <v>-1347184.4900000002</v>
      </c>
      <c r="AH43" s="146">
        <f t="shared" si="24"/>
        <v>-1349325.37</v>
      </c>
      <c r="AI43" s="181">
        <f t="shared" si="25"/>
        <v>-1349325.37</v>
      </c>
      <c r="AJ43" s="182">
        <f t="shared" si="26"/>
        <v>-1.1932801277005936</v>
      </c>
      <c r="AK43" s="183">
        <f t="shared" si="27"/>
        <v>2042984.63</v>
      </c>
      <c r="AL43" s="7">
        <f t="shared" si="28"/>
        <v>4304524.63</v>
      </c>
      <c r="AM43" s="23"/>
      <c r="AN43" s="24"/>
      <c r="AO43" s="104"/>
      <c r="AP43" s="265"/>
      <c r="AQ43" s="278"/>
      <c r="AR43" s="23"/>
      <c r="AS43" s="35"/>
      <c r="AT43" s="99"/>
      <c r="AU43" s="265"/>
      <c r="AV43" s="278"/>
      <c r="AW43" s="23"/>
      <c r="AX43" s="24"/>
      <c r="AY43" s="104"/>
      <c r="AZ43" s="265"/>
      <c r="BA43" s="278"/>
      <c r="BB43" s="23"/>
      <c r="BC43" s="24"/>
      <c r="BD43" s="25"/>
      <c r="BE43" s="265"/>
      <c r="BF43" s="278"/>
      <c r="BG43" s="23"/>
      <c r="BH43" s="24"/>
      <c r="BI43" s="25"/>
      <c r="BJ43" s="265"/>
      <c r="BK43" s="278"/>
      <c r="BL43" s="23"/>
      <c r="BM43" s="93"/>
      <c r="BN43" s="271"/>
      <c r="BO43" s="265"/>
      <c r="BP43" s="278"/>
      <c r="BQ43" s="34"/>
      <c r="BR43" s="35"/>
      <c r="BS43" s="99"/>
      <c r="BT43" s="263"/>
      <c r="BU43" s="278"/>
      <c r="BV43" s="23"/>
      <c r="BW43" s="24"/>
      <c r="BX43" s="104"/>
      <c r="BY43" s="263"/>
      <c r="BZ43" s="278"/>
      <c r="CA43" s="23"/>
      <c r="CB43" s="24"/>
      <c r="CC43" s="104"/>
      <c r="CD43" s="265"/>
      <c r="CE43" s="278"/>
      <c r="CF43" s="23"/>
      <c r="CG43" s="24"/>
      <c r="CH43" s="104"/>
      <c r="CI43" s="265"/>
      <c r="CJ43" s="278"/>
      <c r="CK43" s="34"/>
      <c r="CL43" s="35"/>
      <c r="CM43" s="99"/>
      <c r="CN43" s="265"/>
      <c r="CO43" s="278"/>
      <c r="CP43" s="34"/>
      <c r="CQ43" s="279"/>
      <c r="CR43" s="99"/>
      <c r="CS43" s="263"/>
      <c r="CT43" s="278"/>
      <c r="CU43" s="430"/>
      <c r="CV43" s="431"/>
      <c r="CW43" s="431"/>
      <c r="CX43" s="432"/>
      <c r="CY43" s="23"/>
      <c r="CZ43" s="171"/>
      <c r="DA43" s="171"/>
      <c r="DB43" s="172"/>
      <c r="DC43" s="433"/>
      <c r="DD43" s="65"/>
      <c r="DE43" s="65"/>
      <c r="DF43" s="434"/>
    </row>
    <row r="44" spans="1:110" x14ac:dyDescent="0.25">
      <c r="A44" s="5" t="s">
        <v>46</v>
      </c>
      <c r="B44" s="6">
        <v>39</v>
      </c>
      <c r="C44" s="456">
        <v>1193136</v>
      </c>
      <c r="D44" s="83">
        <f>'Qrtrly Cash Balances'!C41</f>
        <v>-292405.53000000003</v>
      </c>
      <c r="E44" s="35">
        <f>RUTF!$D42</f>
        <v>362622.44</v>
      </c>
      <c r="F44" s="401">
        <f>RUTF!$E42</f>
        <v>397748.93</v>
      </c>
      <c r="G44" s="406">
        <f>RUTF!$F42</f>
        <v>0</v>
      </c>
      <c r="H44" s="155">
        <f>RUTF!$G42</f>
        <v>0</v>
      </c>
      <c r="I44" s="156">
        <f>Federal!$F41+Federal!$J41+Federal!$N41+Federal!$R41</f>
        <v>504774.50999999995</v>
      </c>
      <c r="J44" s="155">
        <f>'Co Contrib'!C41+'Co Contrib'!D41+'Co Contrib'!E41+'Co Contrib'!F41+'Other Rev'!E41+'Other Rev'!H41+'Other Rev'!K41+'Other Rev'!N41</f>
        <v>0</v>
      </c>
      <c r="K44" s="149">
        <f>-1*(Expenditures!H41+Expenditures!N41+Expenditures!T41+Expenditures!Z41)</f>
        <v>-431066.57999999996</v>
      </c>
      <c r="L44" s="74">
        <f>'Qrtrly Obligations'!U40</f>
        <v>-147244.25</v>
      </c>
      <c r="M44" s="246">
        <f t="shared" si="3"/>
        <v>344996.3</v>
      </c>
      <c r="N44" s="248">
        <f t="shared" si="4"/>
        <v>0</v>
      </c>
      <c r="O44" s="54">
        <f t="shared" si="5"/>
        <v>344996.3</v>
      </c>
      <c r="P44" s="255">
        <f t="shared" si="6"/>
        <v>0</v>
      </c>
      <c r="Q44" s="246">
        <f t="shared" si="7"/>
        <v>0</v>
      </c>
      <c r="R44" s="248">
        <f t="shared" si="8"/>
        <v>0</v>
      </c>
      <c r="S44" s="54">
        <f t="shared" si="9"/>
        <v>0</v>
      </c>
      <c r="T44" s="255">
        <f t="shared" si="10"/>
        <v>0</v>
      </c>
      <c r="U44" s="246">
        <f t="shared" si="11"/>
        <v>0</v>
      </c>
      <c r="V44" s="248">
        <f t="shared" si="12"/>
        <v>0</v>
      </c>
      <c r="W44" s="54">
        <f t="shared" si="13"/>
        <v>0</v>
      </c>
      <c r="X44" s="255">
        <f t="shared" si="14"/>
        <v>0</v>
      </c>
      <c r="Y44" s="246">
        <f t="shared" si="15"/>
        <v>344996.3</v>
      </c>
      <c r="Z44" s="248">
        <f t="shared" si="16"/>
        <v>0</v>
      </c>
      <c r="AA44" s="54">
        <f t="shared" si="17"/>
        <v>344996.3</v>
      </c>
      <c r="AB44" s="255">
        <f t="shared" si="18"/>
        <v>0</v>
      </c>
      <c r="AC44" s="246">
        <f t="shared" si="19"/>
        <v>0</v>
      </c>
      <c r="AD44" s="248">
        <f t="shared" si="20"/>
        <v>0</v>
      </c>
      <c r="AE44" s="54">
        <f t="shared" si="21"/>
        <v>0</v>
      </c>
      <c r="AF44" s="255">
        <f t="shared" si="22"/>
        <v>0</v>
      </c>
      <c r="AG44" s="83">
        <f t="shared" si="23"/>
        <v>541673.7699999999</v>
      </c>
      <c r="AH44" s="146">
        <f t="shared" si="24"/>
        <v>394429.5199999999</v>
      </c>
      <c r="AI44" s="181">
        <f t="shared" si="25"/>
        <v>49433.219999999914</v>
      </c>
      <c r="AJ44" s="182">
        <f t="shared" si="26"/>
        <v>4.143133724906458E-2</v>
      </c>
      <c r="AK44" s="183">
        <f t="shared" si="27"/>
        <v>3628841.2199999997</v>
      </c>
      <c r="AL44" s="7">
        <f t="shared" si="28"/>
        <v>6015113.2199999997</v>
      </c>
      <c r="AM44" s="34"/>
      <c r="AN44" s="24"/>
      <c r="AO44" s="99"/>
      <c r="AP44" s="265"/>
      <c r="AQ44" s="278"/>
      <c r="AR44" s="23"/>
      <c r="AS44" s="24"/>
      <c r="AT44" s="104"/>
      <c r="AU44" s="265"/>
      <c r="AV44" s="278"/>
      <c r="AW44" s="23"/>
      <c r="AX44" s="24"/>
      <c r="AY44" s="104"/>
      <c r="AZ44" s="265"/>
      <c r="BA44" s="278"/>
      <c r="BB44" s="23"/>
      <c r="BC44" s="24"/>
      <c r="BD44" s="25"/>
      <c r="BE44" s="265"/>
      <c r="BF44" s="278"/>
      <c r="BG44" s="23"/>
      <c r="BH44" s="24"/>
      <c r="BI44" s="25"/>
      <c r="BJ44" s="265"/>
      <c r="BK44" s="278"/>
      <c r="BL44" s="23"/>
      <c r="BM44" s="93"/>
      <c r="BN44" s="104"/>
      <c r="BO44" s="265"/>
      <c r="BP44" s="278"/>
      <c r="BQ44" s="34"/>
      <c r="BR44" s="35"/>
      <c r="BS44" s="99"/>
      <c r="BT44" s="263"/>
      <c r="BU44" s="278"/>
      <c r="BV44" s="23"/>
      <c r="BW44" s="24"/>
      <c r="BX44" s="104"/>
      <c r="BY44" s="263"/>
      <c r="BZ44" s="278"/>
      <c r="CA44" s="23">
        <v>344996.3</v>
      </c>
      <c r="CB44" s="24"/>
      <c r="CC44" s="104">
        <v>344996.3</v>
      </c>
      <c r="CD44" s="265"/>
      <c r="CE44" s="278"/>
      <c r="CF44" s="34"/>
      <c r="CG44" s="35"/>
      <c r="CH44" s="99"/>
      <c r="CI44" s="265"/>
      <c r="CJ44" s="278"/>
      <c r="CK44" s="34"/>
      <c r="CL44" s="24"/>
      <c r="CM44" s="99"/>
      <c r="CN44" s="265"/>
      <c r="CO44" s="278"/>
      <c r="CP44" s="23"/>
      <c r="CQ44" s="171"/>
      <c r="CR44" s="104"/>
      <c r="CS44" s="263"/>
      <c r="CT44" s="278"/>
      <c r="CU44" s="430"/>
      <c r="CV44" s="431"/>
      <c r="CW44" s="431"/>
      <c r="CX44" s="432"/>
      <c r="CY44" s="23"/>
      <c r="CZ44" s="171"/>
      <c r="DA44" s="171"/>
      <c r="DB44" s="172"/>
      <c r="DC44" s="433"/>
      <c r="DD44" s="65"/>
      <c r="DE44" s="65"/>
      <c r="DF44" s="434"/>
    </row>
    <row r="45" spans="1:110" x14ac:dyDescent="0.25">
      <c r="A45" s="9" t="s">
        <v>47</v>
      </c>
      <c r="B45" s="17">
        <v>40</v>
      </c>
      <c r="C45" s="457">
        <v>1174479</v>
      </c>
      <c r="D45" s="84">
        <f>'Qrtrly Cash Balances'!C42</f>
        <v>423980.24</v>
      </c>
      <c r="E45" s="33">
        <f>RUTF!$D43</f>
        <v>356952</v>
      </c>
      <c r="F45" s="402">
        <f>RUTF!$E43</f>
        <v>391529.21</v>
      </c>
      <c r="G45" s="160">
        <f>RUTF!$F43</f>
        <v>0</v>
      </c>
      <c r="H45" s="159">
        <f>RUTF!$G43</f>
        <v>0</v>
      </c>
      <c r="I45" s="160">
        <f>Federal!$F42+Federal!$J42+Federal!$N42+Federal!$R42</f>
        <v>420000</v>
      </c>
      <c r="J45" s="159">
        <f>'Co Contrib'!C42+'Co Contrib'!D42+'Co Contrib'!E42+'Co Contrib'!F42+'Other Rev'!E42+'Other Rev'!H42+'Other Rev'!K42+'Other Rev'!N42</f>
        <v>0</v>
      </c>
      <c r="K45" s="151">
        <f>-1*(Expenditures!H42+Expenditures!N42+Expenditures!T42+Expenditures!Z42)</f>
        <v>-462277.01999999996</v>
      </c>
      <c r="L45" s="56">
        <f>'Qrtrly Obligations'!U41</f>
        <v>-59161.35</v>
      </c>
      <c r="M45" s="249">
        <f t="shared" si="3"/>
        <v>4335042.95</v>
      </c>
      <c r="N45" s="250">
        <f t="shared" si="4"/>
        <v>3969044.58</v>
      </c>
      <c r="O45" s="253">
        <f t="shared" si="5"/>
        <v>0</v>
      </c>
      <c r="P45" s="256">
        <f t="shared" si="6"/>
        <v>0</v>
      </c>
      <c r="Q45" s="249">
        <f t="shared" si="7"/>
        <v>0</v>
      </c>
      <c r="R45" s="250">
        <f t="shared" si="8"/>
        <v>0</v>
      </c>
      <c r="S45" s="253">
        <f t="shared" si="9"/>
        <v>0</v>
      </c>
      <c r="T45" s="256">
        <f t="shared" si="10"/>
        <v>0</v>
      </c>
      <c r="U45" s="249">
        <f t="shared" si="11"/>
        <v>0</v>
      </c>
      <c r="V45" s="250">
        <f t="shared" si="12"/>
        <v>0</v>
      </c>
      <c r="W45" s="253">
        <f t="shared" si="13"/>
        <v>0</v>
      </c>
      <c r="X45" s="256">
        <f t="shared" si="14"/>
        <v>0</v>
      </c>
      <c r="Y45" s="249">
        <f t="shared" si="15"/>
        <v>4335042.95</v>
      </c>
      <c r="Z45" s="250">
        <f t="shared" si="16"/>
        <v>3969044.58</v>
      </c>
      <c r="AA45" s="253">
        <f t="shared" si="17"/>
        <v>0</v>
      </c>
      <c r="AB45" s="256">
        <f t="shared" si="18"/>
        <v>0</v>
      </c>
      <c r="AC45" s="249">
        <f t="shared" si="19"/>
        <v>0</v>
      </c>
      <c r="AD45" s="250">
        <f t="shared" si="20"/>
        <v>0</v>
      </c>
      <c r="AE45" s="253">
        <f t="shared" si="21"/>
        <v>0</v>
      </c>
      <c r="AF45" s="256">
        <f t="shared" si="22"/>
        <v>0</v>
      </c>
      <c r="AG45" s="84">
        <f t="shared" si="23"/>
        <v>1130184.43</v>
      </c>
      <c r="AH45" s="147">
        <f t="shared" si="24"/>
        <v>1071023.0799999998</v>
      </c>
      <c r="AI45" s="184">
        <f t="shared" si="25"/>
        <v>-2898021.5</v>
      </c>
      <c r="AJ45" s="185">
        <f t="shared" si="26"/>
        <v>-2.4674953745447983</v>
      </c>
      <c r="AK45" s="183">
        <f t="shared" si="27"/>
        <v>625415.5</v>
      </c>
      <c r="AL45" s="18">
        <f t="shared" si="28"/>
        <v>2974373.5</v>
      </c>
      <c r="AM45" s="26"/>
      <c r="AN45" s="27"/>
      <c r="AO45" s="269"/>
      <c r="AP45" s="267"/>
      <c r="AQ45" s="367"/>
      <c r="AR45" s="26"/>
      <c r="AS45" s="27"/>
      <c r="AT45" s="269"/>
      <c r="AU45" s="267"/>
      <c r="AV45" s="367"/>
      <c r="AW45" s="26"/>
      <c r="AX45" s="27"/>
      <c r="AY45" s="269"/>
      <c r="AZ45" s="267"/>
      <c r="BA45" s="367"/>
      <c r="BB45" s="26"/>
      <c r="BC45" s="27"/>
      <c r="BD45" s="28"/>
      <c r="BE45" s="267"/>
      <c r="BF45" s="367"/>
      <c r="BG45" s="26"/>
      <c r="BH45" s="27"/>
      <c r="BI45" s="28"/>
      <c r="BJ45" s="267"/>
      <c r="BK45" s="367"/>
      <c r="BL45" s="37"/>
      <c r="BM45" s="365"/>
      <c r="BN45" s="273"/>
      <c r="BO45" s="267"/>
      <c r="BP45" s="367"/>
      <c r="BQ45" s="37">
        <v>4335042.95</v>
      </c>
      <c r="BR45" s="33">
        <v>3969044.58</v>
      </c>
      <c r="BS45" s="260"/>
      <c r="BT45" s="264"/>
      <c r="BU45" s="367"/>
      <c r="BV45" s="26"/>
      <c r="BW45" s="27"/>
      <c r="BX45" s="272"/>
      <c r="BY45" s="264"/>
      <c r="BZ45" s="367"/>
      <c r="CA45" s="26"/>
      <c r="CB45" s="27"/>
      <c r="CC45" s="269"/>
      <c r="CD45" s="267"/>
      <c r="CE45" s="367"/>
      <c r="CF45" s="26"/>
      <c r="CG45" s="27"/>
      <c r="CH45" s="269"/>
      <c r="CI45" s="267"/>
      <c r="CJ45" s="367"/>
      <c r="CK45" s="26"/>
      <c r="CL45" s="27"/>
      <c r="CM45" s="269"/>
      <c r="CN45" s="267"/>
      <c r="CO45" s="367"/>
      <c r="CP45" s="26"/>
      <c r="CQ45" s="173"/>
      <c r="CR45" s="269"/>
      <c r="CS45" s="264"/>
      <c r="CT45" s="367"/>
      <c r="CU45" s="437"/>
      <c r="CV45" s="438"/>
      <c r="CW45" s="438"/>
      <c r="CX45" s="439"/>
      <c r="CY45" s="26"/>
      <c r="CZ45" s="173"/>
      <c r="DA45" s="173"/>
      <c r="DB45" s="174"/>
      <c r="DC45" s="433"/>
      <c r="DD45" s="65"/>
      <c r="DE45" s="65"/>
      <c r="DF45" s="434"/>
    </row>
    <row r="46" spans="1:110" x14ac:dyDescent="0.25">
      <c r="A46" s="5" t="s">
        <v>48</v>
      </c>
      <c r="B46" s="6">
        <v>41</v>
      </c>
      <c r="C46" s="456">
        <v>1150842</v>
      </c>
      <c r="D46" s="83">
        <f>'Qrtrly Cash Balances'!C43</f>
        <v>1477819.84</v>
      </c>
      <c r="E46" s="35">
        <f>RUTF!$D44</f>
        <v>349768.22</v>
      </c>
      <c r="F46" s="401">
        <f>RUTF!$E44</f>
        <v>383649.55</v>
      </c>
      <c r="G46" s="406">
        <f>RUTF!$F44</f>
        <v>0</v>
      </c>
      <c r="H46" s="155">
        <f>RUTF!$G44</f>
        <v>0</v>
      </c>
      <c r="I46" s="156">
        <f>Federal!$F43+Federal!$J43+Federal!$N43+Federal!$R43</f>
        <v>0</v>
      </c>
      <c r="J46" s="155">
        <f>'Co Contrib'!C43+'Co Contrib'!D43+'Co Contrib'!E43+'Co Contrib'!F43+'Other Rev'!E43+'Other Rev'!H43+'Other Rev'!K43+'Other Rev'!N43</f>
        <v>0</v>
      </c>
      <c r="K46" s="149">
        <f>-1*(Expenditures!H43+Expenditures!N43+Expenditures!T43+Expenditures!Z43)</f>
        <v>-2844842.92</v>
      </c>
      <c r="L46" s="74">
        <f>'Qrtrly Obligations'!U42</f>
        <v>-221313.42</v>
      </c>
      <c r="M46" s="246">
        <f t="shared" si="3"/>
        <v>0</v>
      </c>
      <c r="N46" s="248">
        <f t="shared" si="4"/>
        <v>0</v>
      </c>
      <c r="O46" s="54">
        <f t="shared" si="5"/>
        <v>0</v>
      </c>
      <c r="P46" s="255">
        <f t="shared" si="6"/>
        <v>726750.79</v>
      </c>
      <c r="Q46" s="246">
        <f t="shared" si="7"/>
        <v>0</v>
      </c>
      <c r="R46" s="248">
        <f t="shared" si="8"/>
        <v>0</v>
      </c>
      <c r="S46" s="54">
        <f t="shared" si="9"/>
        <v>0</v>
      </c>
      <c r="T46" s="255">
        <f t="shared" si="10"/>
        <v>0</v>
      </c>
      <c r="U46" s="246">
        <f t="shared" si="11"/>
        <v>0</v>
      </c>
      <c r="V46" s="248">
        <f t="shared" si="12"/>
        <v>0</v>
      </c>
      <c r="W46" s="54">
        <f t="shared" si="13"/>
        <v>0</v>
      </c>
      <c r="X46" s="255">
        <f t="shared" si="14"/>
        <v>0</v>
      </c>
      <c r="Y46" s="246">
        <f t="shared" si="15"/>
        <v>0</v>
      </c>
      <c r="Z46" s="248">
        <f t="shared" si="16"/>
        <v>0</v>
      </c>
      <c r="AA46" s="54">
        <f t="shared" si="17"/>
        <v>0</v>
      </c>
      <c r="AB46" s="255">
        <f t="shared" si="18"/>
        <v>726750.79</v>
      </c>
      <c r="AC46" s="246">
        <f t="shared" si="19"/>
        <v>0</v>
      </c>
      <c r="AD46" s="248">
        <f t="shared" si="20"/>
        <v>0</v>
      </c>
      <c r="AE46" s="54">
        <f t="shared" si="21"/>
        <v>0</v>
      </c>
      <c r="AF46" s="255">
        <f t="shared" si="22"/>
        <v>0</v>
      </c>
      <c r="AG46" s="83">
        <f t="shared" si="23"/>
        <v>-633605.31000000006</v>
      </c>
      <c r="AH46" s="146">
        <f t="shared" si="24"/>
        <v>-854918.7300000001</v>
      </c>
      <c r="AI46" s="181">
        <f t="shared" si="25"/>
        <v>-1581669.52</v>
      </c>
      <c r="AJ46" s="182">
        <f t="shared" si="26"/>
        <v>-1.3743585305367723</v>
      </c>
      <c r="AK46" s="186">
        <f t="shared" si="27"/>
        <v>1870856.48</v>
      </c>
      <c r="AL46" s="7">
        <f t="shared" si="28"/>
        <v>4172540.48</v>
      </c>
      <c r="AM46" s="23"/>
      <c r="AN46" s="24"/>
      <c r="AO46" s="104"/>
      <c r="AP46" s="265"/>
      <c r="AQ46" s="278"/>
      <c r="AR46" s="23"/>
      <c r="AS46" s="24"/>
      <c r="AT46" s="104"/>
      <c r="AU46" s="265"/>
      <c r="AV46" s="278"/>
      <c r="AW46" s="23"/>
      <c r="AX46" s="24"/>
      <c r="AY46" s="104"/>
      <c r="AZ46" s="265"/>
      <c r="BA46" s="278"/>
      <c r="BB46" s="23"/>
      <c r="BC46" s="24"/>
      <c r="BD46" s="25"/>
      <c r="BE46" s="265"/>
      <c r="BF46" s="278"/>
      <c r="BG46" s="23"/>
      <c r="BH46" s="24"/>
      <c r="BI46" s="25"/>
      <c r="BJ46" s="265"/>
      <c r="BK46" s="278"/>
      <c r="BL46" s="23"/>
      <c r="BM46" s="93"/>
      <c r="BN46" s="104"/>
      <c r="BO46" s="265"/>
      <c r="BP46" s="278"/>
      <c r="BQ46" s="34"/>
      <c r="BR46" s="35"/>
      <c r="BS46" s="99"/>
      <c r="BT46" s="263"/>
      <c r="BU46" s="278">
        <v>277552.03999999998</v>
      </c>
      <c r="BV46" s="34"/>
      <c r="BW46" s="24"/>
      <c r="BX46" s="99"/>
      <c r="BY46" s="263"/>
      <c r="BZ46" s="278">
        <v>449198.75</v>
      </c>
      <c r="CA46" s="23"/>
      <c r="CB46" s="24"/>
      <c r="CC46" s="104"/>
      <c r="CD46" s="265"/>
      <c r="CE46" s="278"/>
      <c r="CF46" s="34"/>
      <c r="CG46" s="35"/>
      <c r="CH46" s="99"/>
      <c r="CI46" s="265"/>
      <c r="CJ46" s="278"/>
      <c r="CK46" s="23"/>
      <c r="CL46" s="24"/>
      <c r="CM46" s="104"/>
      <c r="CN46" s="265"/>
      <c r="CO46" s="278"/>
      <c r="CP46" s="23"/>
      <c r="CQ46" s="171"/>
      <c r="CR46" s="104"/>
      <c r="CS46" s="263"/>
      <c r="CT46" s="278"/>
      <c r="CU46" s="430"/>
      <c r="CV46" s="431"/>
      <c r="CW46" s="431"/>
      <c r="CX46" s="432"/>
      <c r="CY46" s="23"/>
      <c r="CZ46" s="171"/>
      <c r="DA46" s="171"/>
      <c r="DB46" s="172"/>
      <c r="DC46" s="433"/>
      <c r="DD46" s="65"/>
      <c r="DE46" s="65"/>
      <c r="DF46" s="434"/>
    </row>
    <row r="47" spans="1:110" x14ac:dyDescent="0.25">
      <c r="A47" s="5" t="s">
        <v>49</v>
      </c>
      <c r="B47" s="6">
        <v>42</v>
      </c>
      <c r="C47" s="456">
        <v>1320695</v>
      </c>
      <c r="D47" s="83">
        <f>'Qrtrly Cash Balances'!C44</f>
        <v>983713.37</v>
      </c>
      <c r="E47" s="35">
        <f>RUTF!$D45</f>
        <v>401390.71</v>
      </c>
      <c r="F47" s="401">
        <f>RUTF!$E45</f>
        <v>440272.61</v>
      </c>
      <c r="G47" s="406">
        <f>RUTF!$F45</f>
        <v>0</v>
      </c>
      <c r="H47" s="155">
        <f>RUTF!$G45</f>
        <v>0</v>
      </c>
      <c r="I47" s="156">
        <f>Federal!$F44+Federal!$J44+Federal!$N44+Federal!$R44</f>
        <v>315982.38</v>
      </c>
      <c r="J47" s="155">
        <f>'Co Contrib'!C44+'Co Contrib'!D44+'Co Contrib'!E44+'Co Contrib'!F44+'Other Rev'!E44+'Other Rev'!H44+'Other Rev'!K44+'Other Rev'!N44</f>
        <v>0</v>
      </c>
      <c r="K47" s="149">
        <f>-1*(Expenditures!H44+Expenditures!N44+Expenditures!T44+Expenditures!Z44)</f>
        <v>-2298806.5099999998</v>
      </c>
      <c r="L47" s="74">
        <f>'Qrtrly Obligations'!U43</f>
        <v>-198148.59</v>
      </c>
      <c r="M47" s="246">
        <f t="shared" si="3"/>
        <v>0</v>
      </c>
      <c r="N47" s="248">
        <f t="shared" si="4"/>
        <v>0</v>
      </c>
      <c r="O47" s="54">
        <f t="shared" si="5"/>
        <v>0</v>
      </c>
      <c r="P47" s="255">
        <f t="shared" si="6"/>
        <v>0</v>
      </c>
      <c r="Q47" s="246">
        <f t="shared" si="7"/>
        <v>0</v>
      </c>
      <c r="R47" s="248">
        <f t="shared" si="8"/>
        <v>0</v>
      </c>
      <c r="S47" s="54">
        <f t="shared" si="9"/>
        <v>0</v>
      </c>
      <c r="T47" s="255">
        <f t="shared" si="10"/>
        <v>0</v>
      </c>
      <c r="U47" s="246">
        <f t="shared" si="11"/>
        <v>0</v>
      </c>
      <c r="V47" s="248">
        <f t="shared" si="12"/>
        <v>0</v>
      </c>
      <c r="W47" s="54">
        <f t="shared" si="13"/>
        <v>0</v>
      </c>
      <c r="X47" s="255">
        <f t="shared" si="14"/>
        <v>0</v>
      </c>
      <c r="Y47" s="246">
        <f t="shared" si="15"/>
        <v>0</v>
      </c>
      <c r="Z47" s="248">
        <f t="shared" si="16"/>
        <v>0</v>
      </c>
      <c r="AA47" s="54">
        <f t="shared" si="17"/>
        <v>0</v>
      </c>
      <c r="AB47" s="255">
        <f t="shared" si="18"/>
        <v>0</v>
      </c>
      <c r="AC47" s="246">
        <f t="shared" si="19"/>
        <v>0</v>
      </c>
      <c r="AD47" s="248">
        <f t="shared" si="20"/>
        <v>0</v>
      </c>
      <c r="AE47" s="54">
        <f t="shared" si="21"/>
        <v>0</v>
      </c>
      <c r="AF47" s="255">
        <f t="shared" si="22"/>
        <v>0</v>
      </c>
      <c r="AG47" s="83">
        <f t="shared" si="23"/>
        <v>-157447.43999999994</v>
      </c>
      <c r="AH47" s="146">
        <f t="shared" si="24"/>
        <v>-355596.02999999991</v>
      </c>
      <c r="AI47" s="181">
        <f t="shared" si="25"/>
        <v>-355596.02999999991</v>
      </c>
      <c r="AJ47" s="182">
        <f t="shared" si="26"/>
        <v>-0.26924916805166971</v>
      </c>
      <c r="AK47" s="183">
        <f t="shared" si="27"/>
        <v>3606488.97</v>
      </c>
      <c r="AL47" s="7">
        <f t="shared" si="28"/>
        <v>6247878.9699999997</v>
      </c>
      <c r="AM47" s="23"/>
      <c r="AN47" s="24"/>
      <c r="AO47" s="104"/>
      <c r="AP47" s="265"/>
      <c r="AQ47" s="278"/>
      <c r="AR47" s="34"/>
      <c r="AS47" s="24"/>
      <c r="AT47" s="99"/>
      <c r="AU47" s="265"/>
      <c r="AV47" s="278"/>
      <c r="AW47" s="34"/>
      <c r="AX47" s="35"/>
      <c r="AY47" s="104"/>
      <c r="AZ47" s="265"/>
      <c r="BA47" s="278"/>
      <c r="BB47" s="34"/>
      <c r="BC47" s="35"/>
      <c r="BD47" s="25"/>
      <c r="BE47" s="265"/>
      <c r="BF47" s="278"/>
      <c r="BG47" s="23"/>
      <c r="BH47" s="24"/>
      <c r="BI47" s="25"/>
      <c r="BJ47" s="265"/>
      <c r="BK47" s="278"/>
      <c r="BL47" s="34"/>
      <c r="BM47" s="94"/>
      <c r="BN47" s="104"/>
      <c r="BO47" s="265"/>
      <c r="BP47" s="278"/>
      <c r="BQ47" s="34"/>
      <c r="BR47" s="35"/>
      <c r="BS47" s="99"/>
      <c r="BT47" s="263"/>
      <c r="BU47" s="278"/>
      <c r="BV47" s="34"/>
      <c r="BW47" s="35"/>
      <c r="BX47" s="99"/>
      <c r="BY47" s="263"/>
      <c r="BZ47" s="278"/>
      <c r="CA47" s="23"/>
      <c r="CB47" s="24"/>
      <c r="CC47" s="104"/>
      <c r="CD47" s="265"/>
      <c r="CE47" s="278"/>
      <c r="CF47" s="23"/>
      <c r="CG47" s="24"/>
      <c r="CH47" s="104"/>
      <c r="CI47" s="265"/>
      <c r="CJ47" s="278"/>
      <c r="CK47" s="34"/>
      <c r="CL47" s="94"/>
      <c r="CM47" s="270"/>
      <c r="CN47" s="265"/>
      <c r="CO47" s="278"/>
      <c r="CP47" s="23"/>
      <c r="CQ47" s="171"/>
      <c r="CR47" s="104"/>
      <c r="CS47" s="263"/>
      <c r="CT47" s="278"/>
      <c r="CU47" s="430"/>
      <c r="CV47" s="431"/>
      <c r="CW47" s="431"/>
      <c r="CX47" s="432"/>
      <c r="CY47" s="23"/>
      <c r="CZ47" s="171"/>
      <c r="DA47" s="171"/>
      <c r="DB47" s="172"/>
      <c r="DC47" s="433"/>
      <c r="DD47" s="65"/>
      <c r="DE47" s="65"/>
      <c r="DF47" s="434"/>
    </row>
    <row r="48" spans="1:110" x14ac:dyDescent="0.25">
      <c r="A48" s="5" t="s">
        <v>50</v>
      </c>
      <c r="B48" s="6">
        <v>43</v>
      </c>
      <c r="C48" s="456">
        <v>1381744</v>
      </c>
      <c r="D48" s="83">
        <f>'Qrtrly Cash Balances'!C45</f>
        <v>1776205.99</v>
      </c>
      <c r="E48" s="35">
        <f>RUTF!$D46</f>
        <v>419945.01</v>
      </c>
      <c r="F48" s="401">
        <f>RUTF!$E46</f>
        <v>460624.22</v>
      </c>
      <c r="G48" s="406">
        <f>RUTF!$F46</f>
        <v>0</v>
      </c>
      <c r="H48" s="155">
        <f>RUTF!$G46</f>
        <v>0</v>
      </c>
      <c r="I48" s="156">
        <f>Federal!$F45+Federal!$J45+Federal!$N45+Federal!$R45</f>
        <v>0</v>
      </c>
      <c r="J48" s="155">
        <f>'Co Contrib'!C45+'Co Contrib'!D45+'Co Contrib'!E45+'Co Contrib'!F45+'Other Rev'!E45+'Other Rev'!H45+'Other Rev'!K45+'Other Rev'!N45</f>
        <v>0</v>
      </c>
      <c r="K48" s="149">
        <f>-1*(Expenditures!H45+Expenditures!N45+Expenditures!T45+Expenditures!Z45)</f>
        <v>-1149108.27</v>
      </c>
      <c r="L48" s="74">
        <f>'Qrtrly Obligations'!U44</f>
        <v>-19485.04</v>
      </c>
      <c r="M48" s="246">
        <f t="shared" si="3"/>
        <v>0</v>
      </c>
      <c r="N48" s="248">
        <f t="shared" si="4"/>
        <v>0</v>
      </c>
      <c r="O48" s="54">
        <f t="shared" si="5"/>
        <v>0</v>
      </c>
      <c r="P48" s="255">
        <f t="shared" si="6"/>
        <v>0</v>
      </c>
      <c r="Q48" s="246">
        <f t="shared" si="7"/>
        <v>0</v>
      </c>
      <c r="R48" s="248">
        <f t="shared" si="8"/>
        <v>0</v>
      </c>
      <c r="S48" s="54">
        <f t="shared" si="9"/>
        <v>0</v>
      </c>
      <c r="T48" s="255">
        <f t="shared" si="10"/>
        <v>0</v>
      </c>
      <c r="U48" s="246">
        <f t="shared" si="11"/>
        <v>0</v>
      </c>
      <c r="V48" s="248">
        <f t="shared" si="12"/>
        <v>0</v>
      </c>
      <c r="W48" s="54">
        <f t="shared" si="13"/>
        <v>0</v>
      </c>
      <c r="X48" s="255">
        <f t="shared" si="14"/>
        <v>0</v>
      </c>
      <c r="Y48" s="246">
        <f t="shared" si="15"/>
        <v>0</v>
      </c>
      <c r="Z48" s="248">
        <f t="shared" si="16"/>
        <v>0</v>
      </c>
      <c r="AA48" s="54">
        <f t="shared" si="17"/>
        <v>0</v>
      </c>
      <c r="AB48" s="255">
        <f t="shared" si="18"/>
        <v>0</v>
      </c>
      <c r="AC48" s="246">
        <f t="shared" si="19"/>
        <v>0</v>
      </c>
      <c r="AD48" s="248">
        <f t="shared" si="20"/>
        <v>0</v>
      </c>
      <c r="AE48" s="54">
        <f t="shared" si="21"/>
        <v>0</v>
      </c>
      <c r="AF48" s="255">
        <f t="shared" si="22"/>
        <v>0</v>
      </c>
      <c r="AG48" s="83">
        <f t="shared" si="23"/>
        <v>1507666.9499999997</v>
      </c>
      <c r="AH48" s="146">
        <f t="shared" si="24"/>
        <v>1488181.9099999997</v>
      </c>
      <c r="AI48" s="181">
        <f t="shared" si="25"/>
        <v>1488181.9099999997</v>
      </c>
      <c r="AJ48" s="182">
        <f t="shared" si="26"/>
        <v>1.0770315702474551</v>
      </c>
      <c r="AK48" s="183">
        <f t="shared" si="27"/>
        <v>5633413.9100000001</v>
      </c>
      <c r="AL48" s="7">
        <f t="shared" si="28"/>
        <v>8396901.9100000001</v>
      </c>
      <c r="AM48" s="23"/>
      <c r="AN48" s="24"/>
      <c r="AO48" s="104"/>
      <c r="AP48" s="265"/>
      <c r="AQ48" s="278"/>
      <c r="AR48" s="23"/>
      <c r="AS48" s="24"/>
      <c r="AT48" s="104"/>
      <c r="AU48" s="265"/>
      <c r="AV48" s="278"/>
      <c r="AW48" s="23"/>
      <c r="AX48" s="24"/>
      <c r="AY48" s="104"/>
      <c r="AZ48" s="265"/>
      <c r="BA48" s="278"/>
      <c r="BB48" s="23"/>
      <c r="BC48" s="24"/>
      <c r="BD48" s="25"/>
      <c r="BE48" s="265"/>
      <c r="BF48" s="278"/>
      <c r="BG48" s="23"/>
      <c r="BH48" s="24"/>
      <c r="BI48" s="25"/>
      <c r="BJ48" s="265"/>
      <c r="BK48" s="278"/>
      <c r="BL48" s="34"/>
      <c r="BM48" s="94"/>
      <c r="BN48" s="104"/>
      <c r="BO48" s="265"/>
      <c r="BP48" s="278"/>
      <c r="BQ48" s="34"/>
      <c r="BR48" s="35"/>
      <c r="BS48" s="99"/>
      <c r="BT48" s="263"/>
      <c r="BU48" s="278"/>
      <c r="BV48" s="23"/>
      <c r="BW48" s="24"/>
      <c r="BX48" s="104"/>
      <c r="BY48" s="263"/>
      <c r="BZ48" s="278"/>
      <c r="CA48" s="34"/>
      <c r="CB48" s="36"/>
      <c r="CC48" s="99"/>
      <c r="CD48" s="265"/>
      <c r="CE48" s="278"/>
      <c r="CF48" s="34"/>
      <c r="CG48" s="35"/>
      <c r="CH48" s="99"/>
      <c r="CI48" s="265"/>
      <c r="CJ48" s="278"/>
      <c r="CK48" s="34"/>
      <c r="CL48" s="35"/>
      <c r="CM48" s="104"/>
      <c r="CN48" s="265"/>
      <c r="CO48" s="278"/>
      <c r="CP48" s="34"/>
      <c r="CQ48" s="279"/>
      <c r="CR48" s="99"/>
      <c r="CS48" s="263"/>
      <c r="CT48" s="278"/>
      <c r="CU48" s="430"/>
      <c r="CV48" s="431"/>
      <c r="CW48" s="431"/>
      <c r="CX48" s="432"/>
      <c r="CY48" s="23"/>
      <c r="CZ48" s="171"/>
      <c r="DA48" s="171"/>
      <c r="DB48" s="172"/>
      <c r="DC48" s="433"/>
      <c r="DD48" s="65"/>
      <c r="DE48" s="65"/>
      <c r="DF48" s="434"/>
    </row>
    <row r="49" spans="1:110" x14ac:dyDescent="0.25">
      <c r="A49" s="5" t="s">
        <v>51</v>
      </c>
      <c r="B49" s="6">
        <v>44</v>
      </c>
      <c r="C49" s="456">
        <v>1133291</v>
      </c>
      <c r="D49" s="83">
        <f>'Qrtrly Cash Balances'!C46</f>
        <v>294930.32</v>
      </c>
      <c r="E49" s="35">
        <f>RUTF!$D47</f>
        <v>344434.07</v>
      </c>
      <c r="F49" s="401">
        <f>RUTF!$E47</f>
        <v>377798.7</v>
      </c>
      <c r="G49" s="406">
        <f>RUTF!$F47</f>
        <v>0</v>
      </c>
      <c r="H49" s="155">
        <f>RUTF!$G47</f>
        <v>0</v>
      </c>
      <c r="I49" s="156">
        <f>Federal!$F46+Federal!$J46+Federal!$N46+Federal!$R46</f>
        <v>1968417.29</v>
      </c>
      <c r="J49" s="155">
        <f>'Co Contrib'!C46+'Co Contrib'!D46+'Co Contrib'!E46+'Co Contrib'!F46+'Other Rev'!E46+'Other Rev'!H46+'Other Rev'!K46+'Other Rev'!N46</f>
        <v>0</v>
      </c>
      <c r="K49" s="149">
        <f>-1*(Expenditures!H46+Expenditures!N46+Expenditures!T46+Expenditures!Z46)</f>
        <v>-4774525.96</v>
      </c>
      <c r="L49" s="74">
        <f>'Qrtrly Obligations'!U45</f>
        <v>-4002605.8</v>
      </c>
      <c r="M49" s="246">
        <f t="shared" si="3"/>
        <v>3853596.04</v>
      </c>
      <c r="N49" s="248">
        <f t="shared" si="4"/>
        <v>770719.21</v>
      </c>
      <c r="O49" s="54">
        <f t="shared" si="5"/>
        <v>0</v>
      </c>
      <c r="P49" s="255">
        <f t="shared" si="6"/>
        <v>0</v>
      </c>
      <c r="Q49" s="246">
        <f t="shared" si="7"/>
        <v>0</v>
      </c>
      <c r="R49" s="248">
        <f t="shared" si="8"/>
        <v>0</v>
      </c>
      <c r="S49" s="54">
        <f t="shared" si="9"/>
        <v>0</v>
      </c>
      <c r="T49" s="255">
        <f t="shared" si="10"/>
        <v>0</v>
      </c>
      <c r="U49" s="246">
        <f t="shared" si="11"/>
        <v>3853596.04</v>
      </c>
      <c r="V49" s="248">
        <f t="shared" si="12"/>
        <v>770719.21</v>
      </c>
      <c r="W49" s="54">
        <f t="shared" si="13"/>
        <v>0</v>
      </c>
      <c r="X49" s="255">
        <f t="shared" si="14"/>
        <v>0</v>
      </c>
      <c r="Y49" s="246">
        <f t="shared" si="15"/>
        <v>0</v>
      </c>
      <c r="Z49" s="248">
        <f t="shared" si="16"/>
        <v>0</v>
      </c>
      <c r="AA49" s="54">
        <f t="shared" si="17"/>
        <v>0</v>
      </c>
      <c r="AB49" s="255">
        <f t="shared" si="18"/>
        <v>0</v>
      </c>
      <c r="AC49" s="246">
        <f t="shared" si="19"/>
        <v>0</v>
      </c>
      <c r="AD49" s="248">
        <f t="shared" si="20"/>
        <v>0</v>
      </c>
      <c r="AE49" s="54">
        <f t="shared" si="21"/>
        <v>0</v>
      </c>
      <c r="AF49" s="255">
        <f t="shared" si="22"/>
        <v>0</v>
      </c>
      <c r="AG49" s="83">
        <f t="shared" si="23"/>
        <v>-1788945.58</v>
      </c>
      <c r="AH49" s="146">
        <f t="shared" si="24"/>
        <v>-5791551.3799999999</v>
      </c>
      <c r="AI49" s="181">
        <f t="shared" si="25"/>
        <v>-5791551.3799999999</v>
      </c>
      <c r="AJ49" s="182">
        <f t="shared" si="26"/>
        <v>-5.1103832819637676</v>
      </c>
      <c r="AK49" s="183">
        <f t="shared" si="27"/>
        <v>-2391678.38</v>
      </c>
      <c r="AL49" s="7">
        <f t="shared" si="28"/>
        <v>-125096.37999999989</v>
      </c>
      <c r="AM49" s="23"/>
      <c r="AN49" s="24"/>
      <c r="AO49" s="104"/>
      <c r="AP49" s="265"/>
      <c r="AQ49" s="278"/>
      <c r="AR49" s="23"/>
      <c r="AS49" s="24"/>
      <c r="AT49" s="104"/>
      <c r="AU49" s="265"/>
      <c r="AV49" s="278"/>
      <c r="AW49" s="23"/>
      <c r="AX49" s="24"/>
      <c r="AY49" s="104"/>
      <c r="AZ49" s="265"/>
      <c r="BA49" s="278"/>
      <c r="BB49" s="23"/>
      <c r="BC49" s="24"/>
      <c r="BD49" s="25"/>
      <c r="BE49" s="265"/>
      <c r="BF49" s="278"/>
      <c r="BG49" s="23"/>
      <c r="BH49" s="24"/>
      <c r="BI49" s="25"/>
      <c r="BJ49" s="265"/>
      <c r="BK49" s="278"/>
      <c r="BL49" s="34">
        <v>3853596.04</v>
      </c>
      <c r="BM49" s="94">
        <v>770719.21</v>
      </c>
      <c r="BN49" s="104"/>
      <c r="BO49" s="265"/>
      <c r="BP49" s="278"/>
      <c r="BQ49" s="34"/>
      <c r="BR49" s="35"/>
      <c r="BS49" s="99"/>
      <c r="BT49" s="263"/>
      <c r="BU49" s="278"/>
      <c r="BV49" s="34"/>
      <c r="BW49" s="455"/>
      <c r="BX49" s="99"/>
      <c r="BY49" s="263"/>
      <c r="BZ49" s="278"/>
      <c r="CA49" s="23"/>
      <c r="CB49" s="24"/>
      <c r="CC49" s="104"/>
      <c r="CD49" s="265"/>
      <c r="CE49" s="278"/>
      <c r="CF49" s="23"/>
      <c r="CG49" s="24"/>
      <c r="CH49" s="104"/>
      <c r="CI49" s="265"/>
      <c r="CJ49" s="278"/>
      <c r="CK49" s="23"/>
      <c r="CL49" s="24"/>
      <c r="CM49" s="104"/>
      <c r="CN49" s="265"/>
      <c r="CO49" s="278"/>
      <c r="CP49" s="23"/>
      <c r="CQ49" s="171"/>
      <c r="CR49" s="104"/>
      <c r="CS49" s="263"/>
      <c r="CT49" s="278"/>
      <c r="CU49" s="430"/>
      <c r="CV49" s="431"/>
      <c r="CW49" s="431"/>
      <c r="CX49" s="432"/>
      <c r="CY49" s="23"/>
      <c r="CZ49" s="171"/>
      <c r="DA49" s="171"/>
      <c r="DB49" s="172"/>
      <c r="DC49" s="433"/>
      <c r="DD49" s="65"/>
      <c r="DE49" s="65"/>
      <c r="DF49" s="434"/>
    </row>
    <row r="50" spans="1:110" x14ac:dyDescent="0.25">
      <c r="A50" s="9" t="s">
        <v>52</v>
      </c>
      <c r="B50" s="17">
        <v>45</v>
      </c>
      <c r="C50" s="457">
        <v>942188</v>
      </c>
      <c r="D50" s="84">
        <f>'Qrtrly Cash Balances'!C47</f>
        <v>1077356.8500000001</v>
      </c>
      <c r="E50" s="33">
        <f>RUTF!$D48</f>
        <v>286353.39</v>
      </c>
      <c r="F50" s="402">
        <f>RUTF!$E48</f>
        <v>314091.86</v>
      </c>
      <c r="G50" s="160">
        <f>RUTF!$F48</f>
        <v>0</v>
      </c>
      <c r="H50" s="159">
        <f>RUTF!$G48</f>
        <v>0</v>
      </c>
      <c r="I50" s="160">
        <f>Federal!$F47+Federal!$J47+Federal!$N47+Federal!$R47</f>
        <v>2845705.2800000003</v>
      </c>
      <c r="J50" s="159">
        <f>'Co Contrib'!C47+'Co Contrib'!D47+'Co Contrib'!E47+'Co Contrib'!F47+'Other Rev'!E47+'Other Rev'!H47+'Other Rev'!K47+'Other Rev'!N47</f>
        <v>0</v>
      </c>
      <c r="K50" s="151">
        <f>-1*(Expenditures!H47+Expenditures!N47+Expenditures!T47+Expenditures!Z47)</f>
        <v>-3123332.09</v>
      </c>
      <c r="L50" s="56">
        <f>'Qrtrly Obligations'!U46</f>
        <v>-79570.100000000006</v>
      </c>
      <c r="M50" s="249">
        <f t="shared" si="3"/>
        <v>1468448.7899999998</v>
      </c>
      <c r="N50" s="250">
        <f t="shared" si="4"/>
        <v>0</v>
      </c>
      <c r="O50" s="253">
        <f t="shared" si="5"/>
        <v>1468448.7899999998</v>
      </c>
      <c r="P50" s="256">
        <f t="shared" si="6"/>
        <v>0</v>
      </c>
      <c r="Q50" s="249">
        <f t="shared" si="7"/>
        <v>19437.8</v>
      </c>
      <c r="R50" s="250">
        <f t="shared" si="8"/>
        <v>0</v>
      </c>
      <c r="S50" s="253">
        <f t="shared" si="9"/>
        <v>19437.8</v>
      </c>
      <c r="T50" s="256">
        <f t="shared" si="10"/>
        <v>0</v>
      </c>
      <c r="U50" s="249">
        <f t="shared" si="11"/>
        <v>0</v>
      </c>
      <c r="V50" s="250">
        <f t="shared" si="12"/>
        <v>0</v>
      </c>
      <c r="W50" s="253">
        <f t="shared" si="13"/>
        <v>0</v>
      </c>
      <c r="X50" s="256">
        <f t="shared" si="14"/>
        <v>0</v>
      </c>
      <c r="Y50" s="249">
        <f t="shared" si="15"/>
        <v>1449010.9899999998</v>
      </c>
      <c r="Z50" s="250">
        <f t="shared" si="16"/>
        <v>0</v>
      </c>
      <c r="AA50" s="253">
        <f t="shared" si="17"/>
        <v>1449010.9899999998</v>
      </c>
      <c r="AB50" s="256">
        <f t="shared" si="18"/>
        <v>0</v>
      </c>
      <c r="AC50" s="249">
        <f t="shared" si="19"/>
        <v>0</v>
      </c>
      <c r="AD50" s="250">
        <f t="shared" si="20"/>
        <v>0</v>
      </c>
      <c r="AE50" s="253">
        <f t="shared" si="21"/>
        <v>0</v>
      </c>
      <c r="AF50" s="256">
        <f t="shared" si="22"/>
        <v>0</v>
      </c>
      <c r="AG50" s="84">
        <f t="shared" si="23"/>
        <v>1400175.290000001</v>
      </c>
      <c r="AH50" s="147">
        <f t="shared" si="24"/>
        <v>1320605.1900000009</v>
      </c>
      <c r="AI50" s="184">
        <f t="shared" si="25"/>
        <v>-128405.79999999888</v>
      </c>
      <c r="AJ50" s="185">
        <f t="shared" si="26"/>
        <v>-0.13628469052885292</v>
      </c>
      <c r="AK50" s="183">
        <f t="shared" si="27"/>
        <v>2698158.2000000011</v>
      </c>
      <c r="AL50" s="18">
        <f t="shared" si="28"/>
        <v>4582534.2000000011</v>
      </c>
      <c r="AM50" s="26"/>
      <c r="AN50" s="27"/>
      <c r="AO50" s="269"/>
      <c r="AP50" s="267"/>
      <c r="AQ50" s="367"/>
      <c r="AR50" s="37"/>
      <c r="AS50" s="33"/>
      <c r="AT50" s="269"/>
      <c r="AU50" s="267"/>
      <c r="AV50" s="367"/>
      <c r="AW50" s="26"/>
      <c r="AX50" s="27"/>
      <c r="AY50" s="269"/>
      <c r="AZ50" s="267"/>
      <c r="BA50" s="367"/>
      <c r="BB50" s="26"/>
      <c r="BC50" s="27"/>
      <c r="BD50" s="28"/>
      <c r="BE50" s="267"/>
      <c r="BF50" s="367"/>
      <c r="BG50" s="26"/>
      <c r="BH50" s="27"/>
      <c r="BI50" s="28"/>
      <c r="BJ50" s="267"/>
      <c r="BK50" s="367"/>
      <c r="BL50" s="37"/>
      <c r="BM50" s="173"/>
      <c r="BN50" s="260"/>
      <c r="BO50" s="267"/>
      <c r="BP50" s="367"/>
      <c r="BQ50" s="37">
        <f>322383.67+1071023.4</f>
        <v>1393407.0699999998</v>
      </c>
      <c r="BR50" s="33"/>
      <c r="BS50" s="260">
        <f>322383.67+1071023.4</f>
        <v>1393407.0699999998</v>
      </c>
      <c r="BT50" s="264"/>
      <c r="BU50" s="367"/>
      <c r="BV50" s="37">
        <v>55603.92</v>
      </c>
      <c r="BW50" s="33"/>
      <c r="BX50" s="273">
        <v>55603.92</v>
      </c>
      <c r="BY50" s="264"/>
      <c r="BZ50" s="367"/>
      <c r="CA50" s="37"/>
      <c r="CB50" s="27"/>
      <c r="CC50" s="260"/>
      <c r="CD50" s="267"/>
      <c r="CE50" s="367"/>
      <c r="CF50" s="26"/>
      <c r="CG50" s="27"/>
      <c r="CH50" s="269"/>
      <c r="CI50" s="267"/>
      <c r="CJ50" s="367"/>
      <c r="CK50" s="26"/>
      <c r="CL50" s="27"/>
      <c r="CM50" s="269"/>
      <c r="CN50" s="267"/>
      <c r="CO50" s="367"/>
      <c r="CP50" s="37"/>
      <c r="CQ50" s="365"/>
      <c r="CR50" s="260"/>
      <c r="CS50" s="264"/>
      <c r="CT50" s="367"/>
      <c r="CU50" s="437"/>
      <c r="CV50" s="438"/>
      <c r="CW50" s="438"/>
      <c r="CX50" s="439"/>
      <c r="CY50" s="26">
        <v>19437.8</v>
      </c>
      <c r="CZ50" s="173"/>
      <c r="DA50" s="173"/>
      <c r="DB50" s="174"/>
      <c r="DC50" s="433" t="s">
        <v>341</v>
      </c>
      <c r="DD50" s="65"/>
      <c r="DE50" s="65"/>
      <c r="DF50" s="434"/>
    </row>
    <row r="51" spans="1:110" x14ac:dyDescent="0.25">
      <c r="A51" s="5" t="s">
        <v>53</v>
      </c>
      <c r="B51" s="6">
        <v>46</v>
      </c>
      <c r="C51" s="456">
        <v>826741</v>
      </c>
      <c r="D51" s="83">
        <f>'Qrtrly Cash Balances'!C48</f>
        <v>-418513.62</v>
      </c>
      <c r="E51" s="35">
        <f>RUTF!$D49</f>
        <v>251266.29</v>
      </c>
      <c r="F51" s="401">
        <f>RUTF!$E49</f>
        <v>275605.94</v>
      </c>
      <c r="G51" s="406">
        <f>RUTF!$F49</f>
        <v>0</v>
      </c>
      <c r="H51" s="155">
        <f>RUTF!$G49</f>
        <v>0</v>
      </c>
      <c r="I51" s="156">
        <f>Federal!$F48+Federal!$J48+Federal!$N48+Federal!$R48</f>
        <v>963624.99</v>
      </c>
      <c r="J51" s="155">
        <f>'Co Contrib'!C48+'Co Contrib'!D48+'Co Contrib'!E48+'Co Contrib'!F48+'Other Rev'!E48+'Other Rev'!H48+'Other Rev'!K48+'Other Rev'!N48</f>
        <v>0</v>
      </c>
      <c r="K51" s="149">
        <f>-1*(Expenditures!H48+Expenditures!N48+Expenditures!T48+Expenditures!Z48)</f>
        <v>-1252001.01</v>
      </c>
      <c r="L51" s="74">
        <f>'Qrtrly Obligations'!U47</f>
        <v>-1736492.28</v>
      </c>
      <c r="M51" s="246">
        <f t="shared" si="3"/>
        <v>0</v>
      </c>
      <c r="N51" s="248">
        <f t="shared" si="4"/>
        <v>0</v>
      </c>
      <c r="O51" s="54">
        <f t="shared" si="5"/>
        <v>0</v>
      </c>
      <c r="P51" s="255">
        <f t="shared" si="6"/>
        <v>146548</v>
      </c>
      <c r="Q51" s="246">
        <f t="shared" si="7"/>
        <v>0</v>
      </c>
      <c r="R51" s="248">
        <f t="shared" si="8"/>
        <v>0</v>
      </c>
      <c r="S51" s="54">
        <f t="shared" si="9"/>
        <v>0</v>
      </c>
      <c r="T51" s="255">
        <f t="shared" si="10"/>
        <v>146548</v>
      </c>
      <c r="U51" s="246">
        <f t="shared" si="11"/>
        <v>0</v>
      </c>
      <c r="V51" s="248">
        <f t="shared" si="12"/>
        <v>0</v>
      </c>
      <c r="W51" s="54">
        <f t="shared" si="13"/>
        <v>0</v>
      </c>
      <c r="X51" s="255">
        <f t="shared" si="14"/>
        <v>0</v>
      </c>
      <c r="Y51" s="246">
        <f t="shared" si="15"/>
        <v>0</v>
      </c>
      <c r="Z51" s="248">
        <f t="shared" si="16"/>
        <v>0</v>
      </c>
      <c r="AA51" s="54">
        <f t="shared" si="17"/>
        <v>0</v>
      </c>
      <c r="AB51" s="255">
        <f t="shared" si="18"/>
        <v>0</v>
      </c>
      <c r="AC51" s="246">
        <f t="shared" si="19"/>
        <v>0</v>
      </c>
      <c r="AD51" s="248">
        <f t="shared" si="20"/>
        <v>0</v>
      </c>
      <c r="AE51" s="54">
        <f t="shared" si="21"/>
        <v>0</v>
      </c>
      <c r="AF51" s="255">
        <f t="shared" si="22"/>
        <v>0</v>
      </c>
      <c r="AG51" s="83">
        <f t="shared" si="23"/>
        <v>-180017.40999999992</v>
      </c>
      <c r="AH51" s="146">
        <f t="shared" si="24"/>
        <v>-1916509.69</v>
      </c>
      <c r="AI51" s="181">
        <f t="shared" si="25"/>
        <v>-1916509.69</v>
      </c>
      <c r="AJ51" s="182">
        <f t="shared" si="26"/>
        <v>-2.3181500494108795</v>
      </c>
      <c r="AK51" s="186">
        <f t="shared" si="27"/>
        <v>563713.31000000006</v>
      </c>
      <c r="AL51" s="7">
        <f t="shared" si="28"/>
        <v>2217195.31</v>
      </c>
      <c r="AM51" s="23"/>
      <c r="AN51" s="24"/>
      <c r="AO51" s="104"/>
      <c r="AP51" s="265"/>
      <c r="AQ51" s="278"/>
      <c r="AR51" s="23"/>
      <c r="AS51" s="24"/>
      <c r="AT51" s="104"/>
      <c r="AU51" s="265"/>
      <c r="AV51" s="278"/>
      <c r="AW51" s="23"/>
      <c r="AX51" s="24"/>
      <c r="AY51" s="104"/>
      <c r="AZ51" s="265">
        <v>146548</v>
      </c>
      <c r="BA51" s="278"/>
      <c r="BB51" s="23"/>
      <c r="BC51" s="24"/>
      <c r="BD51" s="25"/>
      <c r="BE51" s="265"/>
      <c r="BF51" s="278"/>
      <c r="BG51" s="23"/>
      <c r="BH51" s="24"/>
      <c r="BI51" s="25"/>
      <c r="BJ51" s="265"/>
      <c r="BK51" s="278"/>
      <c r="BL51" s="23"/>
      <c r="BM51" s="93"/>
      <c r="BN51" s="104"/>
      <c r="BO51" s="265"/>
      <c r="BP51" s="278"/>
      <c r="BQ51" s="34"/>
      <c r="BR51" s="35"/>
      <c r="BS51" s="99"/>
      <c r="BT51" s="263"/>
      <c r="BU51" s="278"/>
      <c r="BV51" s="23"/>
      <c r="BW51" s="35"/>
      <c r="BX51" s="104"/>
      <c r="BY51" s="263"/>
      <c r="BZ51" s="278"/>
      <c r="CA51" s="23"/>
      <c r="CB51" s="35"/>
      <c r="CC51" s="104"/>
      <c r="CD51" s="265"/>
      <c r="CE51" s="278"/>
      <c r="CF51" s="23"/>
      <c r="CG51" s="24"/>
      <c r="CH51" s="104"/>
      <c r="CI51" s="265"/>
      <c r="CJ51" s="278"/>
      <c r="CK51" s="23"/>
      <c r="CL51" s="24"/>
      <c r="CM51" s="104"/>
      <c r="CN51" s="265"/>
      <c r="CO51" s="278"/>
      <c r="CP51" s="23"/>
      <c r="CQ51" s="171"/>
      <c r="CR51" s="104"/>
      <c r="CS51" s="263"/>
      <c r="CT51" s="278"/>
      <c r="CU51" s="430"/>
      <c r="CV51" s="431"/>
      <c r="CW51" s="431"/>
      <c r="CX51" s="432"/>
      <c r="CY51" s="23"/>
      <c r="CZ51" s="171"/>
      <c r="DA51" s="171"/>
      <c r="DB51" s="172"/>
      <c r="DC51" s="433"/>
      <c r="DD51" s="65"/>
      <c r="DE51" s="65"/>
      <c r="DF51" s="434"/>
    </row>
    <row r="52" spans="1:110" x14ac:dyDescent="0.25">
      <c r="A52" s="5" t="s">
        <v>54</v>
      </c>
      <c r="B52" s="6">
        <v>47</v>
      </c>
      <c r="C52" s="456">
        <v>799384</v>
      </c>
      <c r="D52" s="83">
        <f>'Qrtrly Cash Balances'!C49</f>
        <v>4688680.1399999997</v>
      </c>
      <c r="E52" s="35">
        <f>RUTF!$D50</f>
        <v>242951.98</v>
      </c>
      <c r="F52" s="401">
        <f>RUTF!$E50</f>
        <v>266486.24</v>
      </c>
      <c r="G52" s="406">
        <f>RUTF!$F50</f>
        <v>0</v>
      </c>
      <c r="H52" s="155">
        <f>RUTF!$G50</f>
        <v>0</v>
      </c>
      <c r="I52" s="156">
        <f>Federal!$F49+Federal!$J49+Federal!$N49+Federal!$R49</f>
        <v>904000</v>
      </c>
      <c r="J52" s="155">
        <f>'Co Contrib'!C49+'Co Contrib'!D49+'Co Contrib'!E49+'Co Contrib'!F49+'Other Rev'!E49+'Other Rev'!H49+'Other Rev'!K49+'Other Rev'!N49</f>
        <v>0</v>
      </c>
      <c r="K52" s="149">
        <f>-1*(Expenditures!H49+Expenditures!N49+Expenditures!T49+Expenditures!Z49)</f>
        <v>-7435536.8600000003</v>
      </c>
      <c r="L52" s="74">
        <f>'Qrtrly Obligations'!U48</f>
        <v>-134230.10999999999</v>
      </c>
      <c r="M52" s="246">
        <f t="shared" si="3"/>
        <v>0</v>
      </c>
      <c r="N52" s="248">
        <f t="shared" si="4"/>
        <v>0</v>
      </c>
      <c r="O52" s="54">
        <f t="shared" si="5"/>
        <v>0</v>
      </c>
      <c r="P52" s="255">
        <f t="shared" si="6"/>
        <v>0</v>
      </c>
      <c r="Q52" s="246">
        <f t="shared" si="7"/>
        <v>0</v>
      </c>
      <c r="R52" s="248">
        <f t="shared" si="8"/>
        <v>0</v>
      </c>
      <c r="S52" s="54">
        <f t="shared" si="9"/>
        <v>0</v>
      </c>
      <c r="T52" s="255">
        <f t="shared" si="10"/>
        <v>0</v>
      </c>
      <c r="U52" s="246">
        <f t="shared" si="11"/>
        <v>0</v>
      </c>
      <c r="V52" s="248">
        <f t="shared" si="12"/>
        <v>0</v>
      </c>
      <c r="W52" s="54">
        <f t="shared" si="13"/>
        <v>0</v>
      </c>
      <c r="X52" s="255">
        <f t="shared" si="14"/>
        <v>0</v>
      </c>
      <c r="Y52" s="246">
        <f t="shared" si="15"/>
        <v>0</v>
      </c>
      <c r="Z52" s="248">
        <f t="shared" si="16"/>
        <v>0</v>
      </c>
      <c r="AA52" s="54">
        <f t="shared" si="17"/>
        <v>0</v>
      </c>
      <c r="AB52" s="255">
        <f t="shared" si="18"/>
        <v>0</v>
      </c>
      <c r="AC52" s="246">
        <f t="shared" si="19"/>
        <v>0</v>
      </c>
      <c r="AD52" s="248">
        <f t="shared" si="20"/>
        <v>0</v>
      </c>
      <c r="AE52" s="54">
        <f t="shared" si="21"/>
        <v>0</v>
      </c>
      <c r="AF52" s="255">
        <f t="shared" si="22"/>
        <v>0</v>
      </c>
      <c r="AG52" s="83">
        <f t="shared" si="23"/>
        <v>-1333418.5</v>
      </c>
      <c r="AH52" s="146">
        <f t="shared" si="24"/>
        <v>-1467648.6099999999</v>
      </c>
      <c r="AI52" s="181">
        <f t="shared" si="25"/>
        <v>-1467648.6099999999</v>
      </c>
      <c r="AJ52" s="182">
        <f t="shared" si="26"/>
        <v>-1.8359744628363839</v>
      </c>
      <c r="AK52" s="183">
        <f t="shared" si="27"/>
        <v>930503.39000000013</v>
      </c>
      <c r="AL52" s="7">
        <f t="shared" si="28"/>
        <v>2529271.39</v>
      </c>
      <c r="AM52" s="23"/>
      <c r="AN52" s="24"/>
      <c r="AO52" s="104"/>
      <c r="AP52" s="265"/>
      <c r="AQ52" s="278"/>
      <c r="AR52" s="23"/>
      <c r="AS52" s="24"/>
      <c r="AT52" s="104"/>
      <c r="AU52" s="265"/>
      <c r="AV52" s="278"/>
      <c r="AW52" s="23"/>
      <c r="AX52" s="24"/>
      <c r="AY52" s="104"/>
      <c r="AZ52" s="265"/>
      <c r="BA52" s="278"/>
      <c r="BB52" s="23"/>
      <c r="BC52" s="24"/>
      <c r="BD52" s="25"/>
      <c r="BE52" s="265"/>
      <c r="BF52" s="278"/>
      <c r="BG52" s="23"/>
      <c r="BH52" s="24"/>
      <c r="BI52" s="25"/>
      <c r="BJ52" s="265"/>
      <c r="BK52" s="278"/>
      <c r="BL52" s="23"/>
      <c r="BM52" s="93"/>
      <c r="BN52" s="104"/>
      <c r="BO52" s="265"/>
      <c r="BP52" s="278"/>
      <c r="BQ52" s="34"/>
      <c r="BR52" s="35"/>
      <c r="BS52" s="99"/>
      <c r="BT52" s="263"/>
      <c r="BU52" s="278"/>
      <c r="BV52" s="34"/>
      <c r="BW52" s="35"/>
      <c r="BX52" s="104"/>
      <c r="BY52" s="263"/>
      <c r="BZ52" s="278"/>
      <c r="CA52" s="34"/>
      <c r="CB52" s="35"/>
      <c r="CC52" s="104"/>
      <c r="CD52" s="265"/>
      <c r="CE52" s="278"/>
      <c r="CF52" s="34"/>
      <c r="CG52" s="35"/>
      <c r="CH52" s="104"/>
      <c r="CI52" s="265"/>
      <c r="CJ52" s="278"/>
      <c r="CK52" s="23"/>
      <c r="CL52" s="24"/>
      <c r="CM52" s="104"/>
      <c r="CN52" s="265"/>
      <c r="CO52" s="278"/>
      <c r="CP52" s="23"/>
      <c r="CQ52" s="171"/>
      <c r="CR52" s="104"/>
      <c r="CS52" s="263"/>
      <c r="CT52" s="278"/>
      <c r="CU52" s="430"/>
      <c r="CV52" s="431"/>
      <c r="CW52" s="431"/>
      <c r="CX52" s="432"/>
      <c r="CY52" s="23"/>
      <c r="CZ52" s="171"/>
      <c r="DA52" s="171"/>
      <c r="DB52" s="172"/>
      <c r="DC52" s="433"/>
      <c r="DD52" s="65"/>
      <c r="DE52" s="65"/>
      <c r="DF52" s="434"/>
    </row>
    <row r="53" spans="1:110" x14ac:dyDescent="0.25">
      <c r="A53" s="5" t="s">
        <v>55</v>
      </c>
      <c r="B53" s="6">
        <v>48</v>
      </c>
      <c r="C53" s="456">
        <v>1353641</v>
      </c>
      <c r="D53" s="83">
        <f>'Qrtrly Cash Balances'!C50</f>
        <v>-2432698.38</v>
      </c>
      <c r="E53" s="35">
        <f>RUTF!$D51</f>
        <v>411403.81</v>
      </c>
      <c r="F53" s="401">
        <f>RUTF!$E51</f>
        <v>451255.65</v>
      </c>
      <c r="G53" s="406">
        <f>RUTF!$F51</f>
        <v>0</v>
      </c>
      <c r="H53" s="155">
        <f>RUTF!$G51</f>
        <v>0</v>
      </c>
      <c r="I53" s="156">
        <f>Federal!$F50+Federal!$J50+Federal!$N50+Federal!$R50</f>
        <v>0</v>
      </c>
      <c r="J53" s="155">
        <f>'Co Contrib'!C50+'Co Contrib'!D50+'Co Contrib'!E50+'Co Contrib'!F50+'Other Rev'!E50+'Other Rev'!H50+'Other Rev'!K50+'Other Rev'!N50</f>
        <v>0</v>
      </c>
      <c r="K53" s="149">
        <f>-1*(Expenditures!H50+Expenditures!N50+Expenditures!T50+Expenditures!Z50)</f>
        <v>87850.43</v>
      </c>
      <c r="L53" s="74">
        <f>'Qrtrly Obligations'!U49</f>
        <v>-32060.62</v>
      </c>
      <c r="M53" s="246">
        <f t="shared" si="3"/>
        <v>0</v>
      </c>
      <c r="N53" s="248">
        <f t="shared" si="4"/>
        <v>0</v>
      </c>
      <c r="O53" s="54">
        <f t="shared" si="5"/>
        <v>0</v>
      </c>
      <c r="P53" s="255">
        <f t="shared" si="6"/>
        <v>0</v>
      </c>
      <c r="Q53" s="246">
        <f t="shared" si="7"/>
        <v>0</v>
      </c>
      <c r="R53" s="248">
        <f t="shared" si="8"/>
        <v>0</v>
      </c>
      <c r="S53" s="54">
        <f t="shared" si="9"/>
        <v>0</v>
      </c>
      <c r="T53" s="255">
        <f t="shared" si="10"/>
        <v>0</v>
      </c>
      <c r="U53" s="246">
        <f t="shared" si="11"/>
        <v>0</v>
      </c>
      <c r="V53" s="248">
        <f t="shared" si="12"/>
        <v>0</v>
      </c>
      <c r="W53" s="54">
        <f t="shared" si="13"/>
        <v>0</v>
      </c>
      <c r="X53" s="255">
        <f t="shared" si="14"/>
        <v>0</v>
      </c>
      <c r="Y53" s="246">
        <f t="shared" si="15"/>
        <v>0</v>
      </c>
      <c r="Z53" s="248">
        <f t="shared" si="16"/>
        <v>0</v>
      </c>
      <c r="AA53" s="54">
        <f t="shared" si="17"/>
        <v>0</v>
      </c>
      <c r="AB53" s="255">
        <f t="shared" si="18"/>
        <v>0</v>
      </c>
      <c r="AC53" s="246">
        <f t="shared" si="19"/>
        <v>0</v>
      </c>
      <c r="AD53" s="248">
        <f t="shared" si="20"/>
        <v>0</v>
      </c>
      <c r="AE53" s="54">
        <f t="shared" si="21"/>
        <v>0</v>
      </c>
      <c r="AF53" s="255">
        <f t="shared" si="22"/>
        <v>0</v>
      </c>
      <c r="AG53" s="83">
        <f t="shared" si="23"/>
        <v>-1482188.49</v>
      </c>
      <c r="AH53" s="146">
        <f t="shared" si="24"/>
        <v>-1514249.11</v>
      </c>
      <c r="AI53" s="181">
        <f t="shared" si="25"/>
        <v>-1514249.11</v>
      </c>
      <c r="AJ53" s="182">
        <f t="shared" si="26"/>
        <v>-1.1186489697046706</v>
      </c>
      <c r="AK53" s="183">
        <f t="shared" si="27"/>
        <v>2546673.8899999997</v>
      </c>
      <c r="AL53" s="7">
        <f t="shared" si="28"/>
        <v>5253955.8899999997</v>
      </c>
      <c r="AM53" s="23"/>
      <c r="AN53" s="24"/>
      <c r="AO53" s="104"/>
      <c r="AP53" s="265"/>
      <c r="AQ53" s="364"/>
      <c r="AR53" s="23"/>
      <c r="AS53" s="24"/>
      <c r="AT53" s="104"/>
      <c r="AU53" s="265"/>
      <c r="AV53" s="364"/>
      <c r="AW53" s="23"/>
      <c r="AX53" s="24"/>
      <c r="AY53" s="104"/>
      <c r="AZ53" s="265"/>
      <c r="BA53" s="364"/>
      <c r="BB53" s="23"/>
      <c r="BC53" s="24"/>
      <c r="BD53" s="25"/>
      <c r="BE53" s="265"/>
      <c r="BF53" s="364"/>
      <c r="BG53" s="23"/>
      <c r="BH53" s="24"/>
      <c r="BI53" s="25"/>
      <c r="BJ53" s="265"/>
      <c r="BK53" s="364"/>
      <c r="BL53" s="34"/>
      <c r="BM53" s="94"/>
      <c r="BN53" s="270"/>
      <c r="BO53" s="265"/>
      <c r="BP53" s="364"/>
      <c r="BQ53" s="34"/>
      <c r="BR53" s="35"/>
      <c r="BS53" s="99"/>
      <c r="BT53" s="263"/>
      <c r="BU53" s="364"/>
      <c r="BV53" s="34"/>
      <c r="BW53" s="35"/>
      <c r="BX53" s="99"/>
      <c r="BY53" s="263"/>
      <c r="BZ53" s="364"/>
      <c r="CA53" s="34"/>
      <c r="CB53" s="35"/>
      <c r="CC53" s="104"/>
      <c r="CD53" s="265"/>
      <c r="CE53" s="364"/>
      <c r="CF53" s="34"/>
      <c r="CG53" s="24"/>
      <c r="CH53" s="99"/>
      <c r="CI53" s="265"/>
      <c r="CJ53" s="364"/>
      <c r="CK53" s="34"/>
      <c r="CL53" s="35"/>
      <c r="CM53" s="99"/>
      <c r="CN53" s="265"/>
      <c r="CO53" s="364"/>
      <c r="CP53" s="34"/>
      <c r="CQ53" s="279"/>
      <c r="CR53" s="104"/>
      <c r="CS53" s="263"/>
      <c r="CT53" s="364"/>
      <c r="CU53" s="430"/>
      <c r="CV53" s="431"/>
      <c r="CW53" s="431"/>
      <c r="CX53" s="432"/>
      <c r="CY53" s="23"/>
      <c r="CZ53" s="171"/>
      <c r="DA53" s="171"/>
      <c r="DB53" s="172"/>
      <c r="DC53" s="433"/>
      <c r="DD53" s="65"/>
      <c r="DE53" s="65"/>
      <c r="DF53" s="434"/>
    </row>
    <row r="54" spans="1:110" x14ac:dyDescent="0.25">
      <c r="A54" s="5" t="s">
        <v>56</v>
      </c>
      <c r="B54" s="6">
        <v>49</v>
      </c>
      <c r="C54" s="456">
        <v>1441263</v>
      </c>
      <c r="D54" s="83">
        <f>'Qrtrly Cash Balances'!C51</f>
        <v>-1054236.79</v>
      </c>
      <c r="E54" s="35">
        <f>RUTF!$D52</f>
        <v>438034.07</v>
      </c>
      <c r="F54" s="401">
        <f>RUTF!$E52</f>
        <v>480465.53</v>
      </c>
      <c r="G54" s="406">
        <f>RUTF!$F52</f>
        <v>0</v>
      </c>
      <c r="H54" s="155">
        <f>RUTF!$G52</f>
        <v>0</v>
      </c>
      <c r="I54" s="156">
        <f>Federal!$F51+Federal!$J51+Federal!$N51+Federal!$R51</f>
        <v>0</v>
      </c>
      <c r="J54" s="155">
        <f>'Co Contrib'!C51+'Co Contrib'!D51+'Co Contrib'!E51+'Co Contrib'!F51+'Other Rev'!E51+'Other Rev'!H51+'Other Rev'!K51+'Other Rev'!N51</f>
        <v>0</v>
      </c>
      <c r="K54" s="149">
        <f>-1*(Expenditures!H51+Expenditures!N51+Expenditures!T51+Expenditures!Z51)</f>
        <v>-2493632.42</v>
      </c>
      <c r="L54" s="74">
        <f>'Qrtrly Obligations'!U50</f>
        <v>-2490292.67</v>
      </c>
      <c r="M54" s="246">
        <f t="shared" si="3"/>
        <v>2460292.6799999997</v>
      </c>
      <c r="N54" s="248">
        <f t="shared" si="4"/>
        <v>604537.92000000004</v>
      </c>
      <c r="O54" s="54">
        <f t="shared" si="5"/>
        <v>105754.76</v>
      </c>
      <c r="P54" s="255">
        <f t="shared" si="6"/>
        <v>0</v>
      </c>
      <c r="Q54" s="246">
        <f t="shared" si="7"/>
        <v>0</v>
      </c>
      <c r="R54" s="248">
        <f t="shared" si="8"/>
        <v>0</v>
      </c>
      <c r="S54" s="54">
        <f t="shared" si="9"/>
        <v>0</v>
      </c>
      <c r="T54" s="255">
        <f t="shared" si="10"/>
        <v>0</v>
      </c>
      <c r="U54" s="246">
        <f t="shared" si="11"/>
        <v>2460292.6799999997</v>
      </c>
      <c r="V54" s="248">
        <f t="shared" si="12"/>
        <v>604537.92000000004</v>
      </c>
      <c r="W54" s="54">
        <f t="shared" si="13"/>
        <v>105754.76</v>
      </c>
      <c r="X54" s="255">
        <f t="shared" si="14"/>
        <v>0</v>
      </c>
      <c r="Y54" s="246">
        <f t="shared" si="15"/>
        <v>0</v>
      </c>
      <c r="Z54" s="248">
        <f t="shared" si="16"/>
        <v>0</v>
      </c>
      <c r="AA54" s="54">
        <f t="shared" si="17"/>
        <v>0</v>
      </c>
      <c r="AB54" s="255">
        <f t="shared" si="18"/>
        <v>0</v>
      </c>
      <c r="AC54" s="246">
        <f t="shared" si="19"/>
        <v>0</v>
      </c>
      <c r="AD54" s="248">
        <f t="shared" si="20"/>
        <v>0</v>
      </c>
      <c r="AE54" s="54">
        <f t="shared" si="21"/>
        <v>0</v>
      </c>
      <c r="AF54" s="255">
        <f t="shared" si="22"/>
        <v>0</v>
      </c>
      <c r="AG54" s="83">
        <f t="shared" si="23"/>
        <v>-2629369.61</v>
      </c>
      <c r="AH54" s="146">
        <f t="shared" si="24"/>
        <v>-5119662.2799999993</v>
      </c>
      <c r="AI54" s="181">
        <f t="shared" si="25"/>
        <v>-5119662.2799999993</v>
      </c>
      <c r="AJ54" s="182">
        <f t="shared" si="26"/>
        <v>-3.5522054475831264</v>
      </c>
      <c r="AK54" s="183">
        <f t="shared" si="27"/>
        <v>-795873.27999999933</v>
      </c>
      <c r="AL54" s="7">
        <f t="shared" si="28"/>
        <v>2086652.7200000007</v>
      </c>
      <c r="AM54" s="23"/>
      <c r="AN54" s="24"/>
      <c r="AO54" s="104"/>
      <c r="AP54" s="265"/>
      <c r="AQ54" s="278"/>
      <c r="AR54" s="23"/>
      <c r="AS54" s="24"/>
      <c r="AT54" s="104"/>
      <c r="AU54" s="265"/>
      <c r="AV54" s="278"/>
      <c r="AW54" s="34"/>
      <c r="AX54" s="24"/>
      <c r="AY54" s="99"/>
      <c r="AZ54" s="265"/>
      <c r="BA54" s="278"/>
      <c r="BB54" s="34"/>
      <c r="BC54" s="24"/>
      <c r="BD54" s="36"/>
      <c r="BE54" s="265"/>
      <c r="BF54" s="278"/>
      <c r="BG54" s="23"/>
      <c r="BH54" s="24"/>
      <c r="BI54" s="25"/>
      <c r="BJ54" s="265"/>
      <c r="BK54" s="278"/>
      <c r="BL54" s="23">
        <f>105754.76+2354537.92</f>
        <v>2460292.6799999997</v>
      </c>
      <c r="BM54" s="93">
        <v>604537.92000000004</v>
      </c>
      <c r="BN54" s="104">
        <v>105754.76</v>
      </c>
      <c r="BO54" s="265"/>
      <c r="BP54" s="278"/>
      <c r="BQ54" s="34"/>
      <c r="BR54" s="35"/>
      <c r="BS54" s="99"/>
      <c r="BT54" s="265"/>
      <c r="BU54" s="278"/>
      <c r="BV54" s="34"/>
      <c r="BW54" s="35"/>
      <c r="BX54" s="99"/>
      <c r="BY54" s="265"/>
      <c r="BZ54" s="278"/>
      <c r="CA54" s="34"/>
      <c r="CB54" s="35"/>
      <c r="CC54" s="104"/>
      <c r="CD54" s="265"/>
      <c r="CE54" s="278"/>
      <c r="CF54" s="34"/>
      <c r="CG54" s="35"/>
      <c r="CH54" s="104"/>
      <c r="CI54" s="265"/>
      <c r="CJ54" s="278"/>
      <c r="CK54" s="23"/>
      <c r="CL54" s="24"/>
      <c r="CM54" s="104"/>
      <c r="CN54" s="265"/>
      <c r="CO54" s="278"/>
      <c r="CP54" s="34"/>
      <c r="CQ54" s="279"/>
      <c r="CR54" s="104"/>
      <c r="CS54" s="263"/>
      <c r="CT54" s="278"/>
      <c r="CU54" s="430"/>
      <c r="CV54" s="431"/>
      <c r="CW54" s="431"/>
      <c r="CX54" s="432"/>
      <c r="CY54" s="23"/>
      <c r="CZ54" s="171"/>
      <c r="DA54" s="171"/>
      <c r="DB54" s="172"/>
      <c r="DC54" s="433"/>
      <c r="DD54" s="65"/>
      <c r="DE54" s="65"/>
      <c r="DF54" s="434"/>
    </row>
    <row r="55" spans="1:110" x14ac:dyDescent="0.25">
      <c r="A55" s="9" t="s">
        <v>57</v>
      </c>
      <c r="B55" s="17">
        <v>50</v>
      </c>
      <c r="C55" s="457">
        <v>1825413</v>
      </c>
      <c r="D55" s="84">
        <f>'Qrtrly Cash Balances'!C52</f>
        <v>4262033.74</v>
      </c>
      <c r="E55" s="33">
        <f>RUTF!$D53</f>
        <v>554786.47</v>
      </c>
      <c r="F55" s="402">
        <f>RUTF!$E53</f>
        <v>608527.5</v>
      </c>
      <c r="G55" s="160">
        <f>RUTF!$F53</f>
        <v>0</v>
      </c>
      <c r="H55" s="159">
        <f>RUTF!$G53</f>
        <v>0</v>
      </c>
      <c r="I55" s="160">
        <f>Federal!$F52+Federal!$J52+Federal!$N52+Federal!$R52</f>
        <v>1008845.1499999999</v>
      </c>
      <c r="J55" s="159">
        <f>'Co Contrib'!C52+'Co Contrib'!D52+'Co Contrib'!E52+'Co Contrib'!F52+'Other Rev'!E52+'Other Rev'!H52+'Other Rev'!K52+'Other Rev'!N52</f>
        <v>0</v>
      </c>
      <c r="K55" s="151">
        <f>-1*(Expenditures!H52+Expenditures!N52+Expenditures!T52+Expenditures!Z52)</f>
        <v>-1927165.93</v>
      </c>
      <c r="L55" s="56">
        <f>'Qrtrly Obligations'!U51</f>
        <v>-4327451.8899999997</v>
      </c>
      <c r="M55" s="249">
        <f t="shared" si="3"/>
        <v>4350034.3099999996</v>
      </c>
      <c r="N55" s="250">
        <f t="shared" si="4"/>
        <v>1545753.23</v>
      </c>
      <c r="O55" s="253">
        <f t="shared" si="5"/>
        <v>1804281.0799999998</v>
      </c>
      <c r="P55" s="256">
        <f t="shared" si="6"/>
        <v>3957129.66</v>
      </c>
      <c r="Q55" s="249">
        <f t="shared" si="7"/>
        <v>369052.52999999997</v>
      </c>
      <c r="R55" s="250">
        <f t="shared" si="8"/>
        <v>0</v>
      </c>
      <c r="S55" s="253">
        <f t="shared" si="9"/>
        <v>369052.52999999997</v>
      </c>
      <c r="T55" s="256">
        <f t="shared" si="10"/>
        <v>0</v>
      </c>
      <c r="U55" s="249">
        <f t="shared" si="11"/>
        <v>3980981.7800000003</v>
      </c>
      <c r="V55" s="250">
        <f t="shared" si="12"/>
        <v>1545753.23</v>
      </c>
      <c r="W55" s="253">
        <f t="shared" si="13"/>
        <v>1435228.5499999998</v>
      </c>
      <c r="X55" s="256">
        <f t="shared" si="14"/>
        <v>0</v>
      </c>
      <c r="Y55" s="249">
        <f t="shared" si="15"/>
        <v>0</v>
      </c>
      <c r="Z55" s="250">
        <f t="shared" si="16"/>
        <v>0</v>
      </c>
      <c r="AA55" s="253">
        <f t="shared" si="17"/>
        <v>0</v>
      </c>
      <c r="AB55" s="256">
        <f t="shared" si="18"/>
        <v>3957129.66</v>
      </c>
      <c r="AC55" s="249">
        <f t="shared" si="19"/>
        <v>0</v>
      </c>
      <c r="AD55" s="250">
        <f t="shared" si="20"/>
        <v>0</v>
      </c>
      <c r="AE55" s="253">
        <f t="shared" si="21"/>
        <v>0</v>
      </c>
      <c r="AF55" s="256">
        <f t="shared" si="22"/>
        <v>0</v>
      </c>
      <c r="AG55" s="84">
        <f t="shared" si="23"/>
        <v>4507026.93</v>
      </c>
      <c r="AH55" s="147">
        <f t="shared" si="24"/>
        <v>179575.04000000004</v>
      </c>
      <c r="AI55" s="184">
        <f t="shared" si="25"/>
        <v>-3777554.62</v>
      </c>
      <c r="AJ55" s="185">
        <f t="shared" si="26"/>
        <v>-2.0694246288374192</v>
      </c>
      <c r="AK55" s="183">
        <f t="shared" si="27"/>
        <v>1698684.38</v>
      </c>
      <c r="AL55" s="18">
        <f t="shared" si="28"/>
        <v>5349510.38</v>
      </c>
      <c r="AM55" s="37"/>
      <c r="AN55" s="27"/>
      <c r="AO55" s="260"/>
      <c r="AP55" s="267"/>
      <c r="AQ55" s="174"/>
      <c r="AR55" s="26">
        <f>263944.47+105108.06</f>
        <v>369052.52999999997</v>
      </c>
      <c r="AS55" s="27"/>
      <c r="AT55" s="269">
        <f>263944.47+105108.06</f>
        <v>369052.52999999997</v>
      </c>
      <c r="AU55" s="267"/>
      <c r="AV55" s="174"/>
      <c r="AW55" s="26"/>
      <c r="AX55" s="27"/>
      <c r="AY55" s="269"/>
      <c r="AZ55" s="267"/>
      <c r="BA55" s="174"/>
      <c r="BB55" s="26"/>
      <c r="BC55" s="27"/>
      <c r="BD55" s="28"/>
      <c r="BE55" s="267"/>
      <c r="BF55" s="174"/>
      <c r="BG55" s="26">
        <f>695363.64+2545753.23</f>
        <v>3241116.87</v>
      </c>
      <c r="BH55" s="27">
        <v>1545753.23</v>
      </c>
      <c r="BI55" s="28">
        <v>695363.64</v>
      </c>
      <c r="BJ55" s="267"/>
      <c r="BK55" s="174"/>
      <c r="BL55" s="26">
        <f>282492.16+457372.75</f>
        <v>739864.90999999992</v>
      </c>
      <c r="BM55" s="173"/>
      <c r="BN55" s="269">
        <f>282492.16+457372.75</f>
        <v>739864.90999999992</v>
      </c>
      <c r="BO55" s="267"/>
      <c r="BP55" s="174"/>
      <c r="BQ55" s="37"/>
      <c r="BR55" s="33"/>
      <c r="BS55" s="260"/>
      <c r="BT55" s="264"/>
      <c r="BU55" s="174">
        <v>2233387.4700000002</v>
      </c>
      <c r="BV55" s="26"/>
      <c r="BW55" s="27"/>
      <c r="BX55" s="269"/>
      <c r="BY55" s="264"/>
      <c r="BZ55" s="174">
        <f>1723742.19</f>
        <v>1723742.19</v>
      </c>
      <c r="CA55" s="37"/>
      <c r="CB55" s="27"/>
      <c r="CC55" s="260"/>
      <c r="CD55" s="267"/>
      <c r="CE55" s="174"/>
      <c r="CF55" s="26"/>
      <c r="CG55" s="27"/>
      <c r="CH55" s="269"/>
      <c r="CI55" s="267"/>
      <c r="CJ55" s="174"/>
      <c r="CK55" s="26"/>
      <c r="CL55" s="27"/>
      <c r="CM55" s="269"/>
      <c r="CN55" s="267"/>
      <c r="CO55" s="174"/>
      <c r="CP55" s="26"/>
      <c r="CQ55" s="173"/>
      <c r="CR55" s="269"/>
      <c r="CS55" s="264"/>
      <c r="CT55" s="174"/>
      <c r="CU55" s="437"/>
      <c r="CV55" s="438"/>
      <c r="CW55" s="438"/>
      <c r="CX55" s="439"/>
      <c r="CY55" s="26"/>
      <c r="CZ55" s="173"/>
      <c r="DA55" s="173"/>
      <c r="DB55" s="174"/>
      <c r="DC55" s="433"/>
      <c r="DD55" s="65"/>
      <c r="DE55" s="65"/>
      <c r="DF55" s="434"/>
    </row>
    <row r="56" spans="1:110" x14ac:dyDescent="0.25">
      <c r="A56" s="5" t="s">
        <v>58</v>
      </c>
      <c r="B56" s="6">
        <v>51</v>
      </c>
      <c r="C56" s="456">
        <v>1050003</v>
      </c>
      <c r="D56" s="83">
        <f>'Qrtrly Cash Balances'!C53</f>
        <v>1514342.51</v>
      </c>
      <c r="E56" s="35">
        <f>RUTF!$D54</f>
        <v>319120.94</v>
      </c>
      <c r="F56" s="401">
        <f>RUTF!$E54</f>
        <v>350033.53</v>
      </c>
      <c r="G56" s="406">
        <f>RUTF!$F54</f>
        <v>0</v>
      </c>
      <c r="H56" s="155">
        <f>RUTF!$G54</f>
        <v>0</v>
      </c>
      <c r="I56" s="156">
        <f>Federal!$F53+Federal!$J53+Federal!$N53+Federal!$R53</f>
        <v>476122.79</v>
      </c>
      <c r="J56" s="155">
        <f>'Co Contrib'!C53+'Co Contrib'!D53+'Co Contrib'!E53+'Co Contrib'!F53+'Other Rev'!E53+'Other Rev'!H53+'Other Rev'!K53+'Other Rev'!N53</f>
        <v>0</v>
      </c>
      <c r="K56" s="149">
        <f>-1*(Expenditures!H53+Expenditures!N53+Expenditures!T53+Expenditures!Z53)</f>
        <v>-1514319.58</v>
      </c>
      <c r="L56" s="74">
        <f>'Qrtrly Obligations'!U52</f>
        <v>-3344262.18</v>
      </c>
      <c r="M56" s="246">
        <f t="shared" si="3"/>
        <v>1848838.67</v>
      </c>
      <c r="N56" s="248">
        <f t="shared" si="4"/>
        <v>0</v>
      </c>
      <c r="O56" s="54">
        <f t="shared" si="5"/>
        <v>1848838.67</v>
      </c>
      <c r="P56" s="255">
        <f t="shared" si="6"/>
        <v>2065011</v>
      </c>
      <c r="Q56" s="246">
        <f t="shared" si="7"/>
        <v>0</v>
      </c>
      <c r="R56" s="248">
        <f t="shared" si="8"/>
        <v>0</v>
      </c>
      <c r="S56" s="54">
        <f t="shared" si="9"/>
        <v>0</v>
      </c>
      <c r="T56" s="255">
        <f t="shared" si="10"/>
        <v>2065011</v>
      </c>
      <c r="U56" s="246">
        <f t="shared" si="11"/>
        <v>1848838.67</v>
      </c>
      <c r="V56" s="248">
        <f t="shared" si="12"/>
        <v>0</v>
      </c>
      <c r="W56" s="54">
        <f t="shared" si="13"/>
        <v>1848838.67</v>
      </c>
      <c r="X56" s="255">
        <f t="shared" si="14"/>
        <v>0</v>
      </c>
      <c r="Y56" s="246">
        <f t="shared" si="15"/>
        <v>0</v>
      </c>
      <c r="Z56" s="248">
        <f t="shared" si="16"/>
        <v>0</v>
      </c>
      <c r="AA56" s="54">
        <f t="shared" si="17"/>
        <v>0</v>
      </c>
      <c r="AB56" s="255">
        <f t="shared" si="18"/>
        <v>0</v>
      </c>
      <c r="AC56" s="246">
        <f t="shared" si="19"/>
        <v>0</v>
      </c>
      <c r="AD56" s="248">
        <f t="shared" si="20"/>
        <v>0</v>
      </c>
      <c r="AE56" s="54">
        <f t="shared" si="21"/>
        <v>0</v>
      </c>
      <c r="AF56" s="255">
        <f t="shared" si="22"/>
        <v>0</v>
      </c>
      <c r="AG56" s="83">
        <f t="shared" si="23"/>
        <v>1145300.19</v>
      </c>
      <c r="AH56" s="146">
        <f t="shared" si="24"/>
        <v>-2198961.9900000002</v>
      </c>
      <c r="AI56" s="181">
        <f t="shared" si="25"/>
        <v>-2198961.9900000002</v>
      </c>
      <c r="AJ56" s="182">
        <f t="shared" si="26"/>
        <v>-2.0942435307327694</v>
      </c>
      <c r="AK56" s="186">
        <f t="shared" si="27"/>
        <v>951047.00999999978</v>
      </c>
      <c r="AL56" s="7">
        <f t="shared" si="28"/>
        <v>3051053.01</v>
      </c>
      <c r="AM56" s="34"/>
      <c r="AN56" s="95"/>
      <c r="AO56" s="270"/>
      <c r="AP56" s="265"/>
      <c r="AQ56" s="278"/>
      <c r="AR56" s="23"/>
      <c r="AS56" s="24"/>
      <c r="AT56" s="104"/>
      <c r="AU56" s="265"/>
      <c r="AV56" s="278">
        <v>2065011</v>
      </c>
      <c r="AW56" s="23"/>
      <c r="AX56" s="24"/>
      <c r="AY56" s="104"/>
      <c r="AZ56" s="265"/>
      <c r="BA56" s="278"/>
      <c r="BB56" s="470">
        <v>1848838.67</v>
      </c>
      <c r="BC56" s="24"/>
      <c r="BD56" s="471">
        <v>1848838.67</v>
      </c>
      <c r="BE56" s="265"/>
      <c r="BF56" s="278"/>
      <c r="BG56" s="34"/>
      <c r="BH56" s="35"/>
      <c r="BI56" s="25"/>
      <c r="BJ56" s="265"/>
      <c r="BK56" s="278"/>
      <c r="BL56" s="23"/>
      <c r="BM56" s="93"/>
      <c r="BN56" s="104"/>
      <c r="BO56" s="265"/>
      <c r="BP56" s="278"/>
      <c r="BQ56" s="34"/>
      <c r="BR56" s="35"/>
      <c r="BS56" s="99"/>
      <c r="BT56" s="263"/>
      <c r="BU56" s="278"/>
      <c r="BV56" s="23"/>
      <c r="BW56" s="24"/>
      <c r="BX56" s="104"/>
      <c r="BY56" s="263"/>
      <c r="BZ56" s="278"/>
      <c r="CA56" s="23"/>
      <c r="CB56" s="24"/>
      <c r="CC56" s="104"/>
      <c r="CD56" s="265"/>
      <c r="CE56" s="278"/>
      <c r="CF56" s="34"/>
      <c r="CG56" s="35"/>
      <c r="CH56" s="99"/>
      <c r="CI56" s="265"/>
      <c r="CJ56" s="278"/>
      <c r="CK56" s="34"/>
      <c r="CL56" s="35"/>
      <c r="CM56" s="99"/>
      <c r="CN56" s="265"/>
      <c r="CO56" s="278"/>
      <c r="CP56" s="23"/>
      <c r="CQ56" s="171"/>
      <c r="CR56" s="104"/>
      <c r="CS56" s="263"/>
      <c r="CT56" s="278"/>
      <c r="CU56" s="430"/>
      <c r="CV56" s="431"/>
      <c r="CW56" s="431"/>
      <c r="CX56" s="432"/>
      <c r="CY56" s="23"/>
      <c r="CZ56" s="171"/>
      <c r="DA56" s="171"/>
      <c r="DB56" s="172"/>
      <c r="DC56" s="472" t="s">
        <v>344</v>
      </c>
      <c r="DD56" s="65"/>
      <c r="DE56" s="65"/>
      <c r="DF56" s="434"/>
    </row>
    <row r="57" spans="1:110" x14ac:dyDescent="0.25">
      <c r="A57" s="5" t="s">
        <v>59</v>
      </c>
      <c r="B57" s="6">
        <v>52</v>
      </c>
      <c r="C57" s="456">
        <v>2148043</v>
      </c>
      <c r="D57" s="83">
        <f>'Qrtrly Cash Balances'!C54</f>
        <v>13582347.58</v>
      </c>
      <c r="E57" s="35">
        <f>RUTF!$D55</f>
        <v>652841.48</v>
      </c>
      <c r="F57" s="401">
        <f>RUTF!$E55</f>
        <v>716080.9</v>
      </c>
      <c r="G57" s="406">
        <f>RUTF!$F55</f>
        <v>0</v>
      </c>
      <c r="H57" s="155">
        <f>RUTF!$G55</f>
        <v>0</v>
      </c>
      <c r="I57" s="156">
        <f>Federal!$F54+Federal!$J54+Federal!$N54+Federal!$R54</f>
        <v>44212.19</v>
      </c>
      <c r="J57" s="155">
        <f>'Co Contrib'!C54+'Co Contrib'!D54+'Co Contrib'!E54+'Co Contrib'!F54+'Other Rev'!E54+'Other Rev'!H54+'Other Rev'!K54+'Other Rev'!N54</f>
        <v>75367.92</v>
      </c>
      <c r="K57" s="149">
        <f>-1*(Expenditures!H54+Expenditures!N54+Expenditures!T54+Expenditures!Z54)</f>
        <v>-4471821.7699999996</v>
      </c>
      <c r="L57" s="74">
        <f>'Qrtrly Obligations'!U53</f>
        <v>-631385.97</v>
      </c>
      <c r="M57" s="246">
        <f t="shared" si="3"/>
        <v>0</v>
      </c>
      <c r="N57" s="248">
        <f t="shared" si="4"/>
        <v>0</v>
      </c>
      <c r="O57" s="54">
        <f t="shared" si="5"/>
        <v>0</v>
      </c>
      <c r="P57" s="255">
        <f t="shared" si="6"/>
        <v>0</v>
      </c>
      <c r="Q57" s="246">
        <f t="shared" si="7"/>
        <v>0</v>
      </c>
      <c r="R57" s="248">
        <f t="shared" si="8"/>
        <v>0</v>
      </c>
      <c r="S57" s="54">
        <f t="shared" si="9"/>
        <v>0</v>
      </c>
      <c r="T57" s="255">
        <f t="shared" si="10"/>
        <v>0</v>
      </c>
      <c r="U57" s="246">
        <f t="shared" si="11"/>
        <v>0</v>
      </c>
      <c r="V57" s="248">
        <f t="shared" si="12"/>
        <v>0</v>
      </c>
      <c r="W57" s="54">
        <f t="shared" si="13"/>
        <v>0</v>
      </c>
      <c r="X57" s="255">
        <f t="shared" si="14"/>
        <v>0</v>
      </c>
      <c r="Y57" s="246">
        <f t="shared" si="15"/>
        <v>0</v>
      </c>
      <c r="Z57" s="248">
        <f t="shared" si="16"/>
        <v>0</v>
      </c>
      <c r="AA57" s="54">
        <f t="shared" si="17"/>
        <v>0</v>
      </c>
      <c r="AB57" s="255">
        <f t="shared" si="18"/>
        <v>0</v>
      </c>
      <c r="AC57" s="246">
        <f t="shared" si="19"/>
        <v>0</v>
      </c>
      <c r="AD57" s="248">
        <f t="shared" si="20"/>
        <v>0</v>
      </c>
      <c r="AE57" s="54">
        <f t="shared" si="21"/>
        <v>0</v>
      </c>
      <c r="AF57" s="255">
        <f t="shared" si="22"/>
        <v>0</v>
      </c>
      <c r="AG57" s="83">
        <f t="shared" si="23"/>
        <v>10599028.300000001</v>
      </c>
      <c r="AH57" s="146">
        <f t="shared" si="24"/>
        <v>9967642.3300000001</v>
      </c>
      <c r="AI57" s="181">
        <f t="shared" si="25"/>
        <v>9967642.3300000001</v>
      </c>
      <c r="AJ57" s="182">
        <f t="shared" si="26"/>
        <v>4.6403364969881888</v>
      </c>
      <c r="AK57" s="183">
        <f t="shared" si="27"/>
        <v>16411771.33</v>
      </c>
      <c r="AL57" s="7">
        <f t="shared" si="28"/>
        <v>20707857.329999998</v>
      </c>
      <c r="AM57" s="23"/>
      <c r="AN57" s="24"/>
      <c r="AO57" s="104"/>
      <c r="AP57" s="265"/>
      <c r="AQ57" s="278"/>
      <c r="AR57" s="23"/>
      <c r="AS57" s="24"/>
      <c r="AT57" s="104"/>
      <c r="AU57" s="265"/>
      <c r="AV57" s="278"/>
      <c r="AW57" s="23"/>
      <c r="AX57" s="24"/>
      <c r="AY57" s="104"/>
      <c r="AZ57" s="265"/>
      <c r="BA57" s="278"/>
      <c r="BB57" s="23"/>
      <c r="BC57" s="24"/>
      <c r="BD57" s="25"/>
      <c r="BE57" s="265"/>
      <c r="BF57" s="278"/>
      <c r="BG57" s="34"/>
      <c r="BH57" s="35"/>
      <c r="BI57" s="25"/>
      <c r="BJ57" s="265"/>
      <c r="BK57" s="278"/>
      <c r="BL57" s="23"/>
      <c r="BM57" s="93"/>
      <c r="BN57" s="104"/>
      <c r="BO57" s="265"/>
      <c r="BP57" s="278"/>
      <c r="BQ57" s="34"/>
      <c r="BR57" s="35"/>
      <c r="BS57" s="99"/>
      <c r="BT57" s="263"/>
      <c r="BU57" s="278"/>
      <c r="BV57" s="34"/>
      <c r="BW57" s="35"/>
      <c r="BX57" s="99"/>
      <c r="BY57" s="263"/>
      <c r="BZ57" s="278"/>
      <c r="CA57" s="23"/>
      <c r="CB57" s="24"/>
      <c r="CC57" s="104"/>
      <c r="CD57" s="265"/>
      <c r="CE57" s="278"/>
      <c r="CF57" s="34"/>
      <c r="CG57" s="24"/>
      <c r="CH57" s="99"/>
      <c r="CI57" s="265"/>
      <c r="CJ57" s="278"/>
      <c r="CK57" s="23"/>
      <c r="CL57" s="24"/>
      <c r="CM57" s="104"/>
      <c r="CN57" s="265"/>
      <c r="CO57" s="278"/>
      <c r="CP57" s="34"/>
      <c r="CQ57" s="279"/>
      <c r="CR57" s="104"/>
      <c r="CS57" s="263"/>
      <c r="CT57" s="278"/>
      <c r="CU57" s="430"/>
      <c r="CV57" s="431"/>
      <c r="CW57" s="431"/>
      <c r="CX57" s="432"/>
      <c r="CY57" s="23"/>
      <c r="CZ57" s="171"/>
      <c r="DA57" s="171"/>
      <c r="DB57" s="172"/>
      <c r="DC57" s="433"/>
      <c r="DD57" s="65"/>
      <c r="DE57" s="65"/>
      <c r="DF57" s="434"/>
    </row>
    <row r="58" spans="1:110" x14ac:dyDescent="0.25">
      <c r="A58" s="5" t="s">
        <v>60</v>
      </c>
      <c r="B58" s="6">
        <v>53</v>
      </c>
      <c r="C58" s="456">
        <v>1294364</v>
      </c>
      <c r="D58" s="83">
        <f>'Qrtrly Cash Balances'!C55</f>
        <v>5700392.71</v>
      </c>
      <c r="E58" s="35">
        <f>RUTF!$D56</f>
        <v>393388.01</v>
      </c>
      <c r="F58" s="401">
        <f>RUTF!$E56</f>
        <v>431494.7</v>
      </c>
      <c r="G58" s="406">
        <f>RUTF!$F56</f>
        <v>0</v>
      </c>
      <c r="H58" s="155">
        <f>RUTF!$G56</f>
        <v>0</v>
      </c>
      <c r="I58" s="156">
        <f>Federal!$F55+Federal!$J55+Federal!$N55+Federal!$R55</f>
        <v>0</v>
      </c>
      <c r="J58" s="155">
        <f>'Co Contrib'!C55+'Co Contrib'!D55+'Co Contrib'!E55+'Co Contrib'!F55+'Other Rev'!E55+'Other Rev'!H55+'Other Rev'!K55+'Other Rev'!N55</f>
        <v>0</v>
      </c>
      <c r="K58" s="149">
        <f>-1*(Expenditures!H55+Expenditures!N55+Expenditures!T55+Expenditures!Z55)</f>
        <v>-2746134.6300000004</v>
      </c>
      <c r="L58" s="74">
        <f>'Qrtrly Obligations'!U54</f>
        <v>-109372.35</v>
      </c>
      <c r="M58" s="246">
        <f t="shared" si="3"/>
        <v>2969883.4</v>
      </c>
      <c r="N58" s="248">
        <f t="shared" si="4"/>
        <v>2469883.4</v>
      </c>
      <c r="O58" s="54">
        <f t="shared" si="5"/>
        <v>0</v>
      </c>
      <c r="P58" s="255">
        <f t="shared" si="6"/>
        <v>0</v>
      </c>
      <c r="Q58" s="246">
        <f t="shared" si="7"/>
        <v>2969883.4</v>
      </c>
      <c r="R58" s="248">
        <f t="shared" si="8"/>
        <v>2469883.4</v>
      </c>
      <c r="S58" s="54">
        <f t="shared" si="9"/>
        <v>0</v>
      </c>
      <c r="T58" s="255">
        <f t="shared" si="10"/>
        <v>0</v>
      </c>
      <c r="U58" s="246">
        <f t="shared" si="11"/>
        <v>0</v>
      </c>
      <c r="V58" s="248">
        <f t="shared" si="12"/>
        <v>0</v>
      </c>
      <c r="W58" s="54">
        <f t="shared" si="13"/>
        <v>0</v>
      </c>
      <c r="X58" s="255">
        <f t="shared" si="14"/>
        <v>0</v>
      </c>
      <c r="Y58" s="246">
        <f t="shared" si="15"/>
        <v>0</v>
      </c>
      <c r="Z58" s="248">
        <f t="shared" si="16"/>
        <v>0</v>
      </c>
      <c r="AA58" s="54">
        <f t="shared" si="17"/>
        <v>0</v>
      </c>
      <c r="AB58" s="255">
        <f t="shared" si="18"/>
        <v>0</v>
      </c>
      <c r="AC58" s="246">
        <f t="shared" si="19"/>
        <v>0</v>
      </c>
      <c r="AD58" s="248">
        <f t="shared" si="20"/>
        <v>0</v>
      </c>
      <c r="AE58" s="54">
        <f t="shared" si="21"/>
        <v>0</v>
      </c>
      <c r="AF58" s="255">
        <f t="shared" si="22"/>
        <v>0</v>
      </c>
      <c r="AG58" s="83">
        <f t="shared" si="23"/>
        <v>3779140.7899999996</v>
      </c>
      <c r="AH58" s="146">
        <f t="shared" si="24"/>
        <v>3669768.4399999995</v>
      </c>
      <c r="AI58" s="181">
        <f t="shared" si="25"/>
        <v>3669768.4399999995</v>
      </c>
      <c r="AJ58" s="182">
        <f t="shared" si="26"/>
        <v>2.835190441019682</v>
      </c>
      <c r="AK58" s="183">
        <f t="shared" si="27"/>
        <v>7552860.4399999995</v>
      </c>
      <c r="AL58" s="7">
        <f t="shared" si="28"/>
        <v>10141588.439999999</v>
      </c>
      <c r="AM58" s="23">
        <v>2969883.4</v>
      </c>
      <c r="AN58" s="24">
        <v>2469883.4</v>
      </c>
      <c r="AO58" s="104"/>
      <c r="AP58" s="265"/>
      <c r="AQ58" s="278"/>
      <c r="AR58" s="23"/>
      <c r="AS58" s="24"/>
      <c r="AT58" s="104"/>
      <c r="AU58" s="265"/>
      <c r="AV58" s="278"/>
      <c r="AW58" s="23"/>
      <c r="AX58" s="24"/>
      <c r="AY58" s="104"/>
      <c r="AZ58" s="265"/>
      <c r="BA58" s="278"/>
      <c r="BB58" s="23"/>
      <c r="BC58" s="24"/>
      <c r="BD58" s="25"/>
      <c r="BE58" s="265"/>
      <c r="BF58" s="278"/>
      <c r="BG58" s="23"/>
      <c r="BH58" s="24"/>
      <c r="BI58" s="25"/>
      <c r="BJ58" s="265"/>
      <c r="BK58" s="278"/>
      <c r="BL58" s="23"/>
      <c r="BM58" s="93"/>
      <c r="BN58" s="104"/>
      <c r="BO58" s="265"/>
      <c r="BP58" s="278"/>
      <c r="BQ58" s="34"/>
      <c r="BR58" s="35"/>
      <c r="BS58" s="99"/>
      <c r="BT58" s="263"/>
      <c r="BU58" s="278"/>
      <c r="BV58" s="34"/>
      <c r="BW58" s="35"/>
      <c r="BX58" s="99"/>
      <c r="BY58" s="263"/>
      <c r="BZ58" s="278"/>
      <c r="CA58" s="34"/>
      <c r="CB58" s="35"/>
      <c r="CC58" s="104"/>
      <c r="CD58" s="265"/>
      <c r="CE58" s="278"/>
      <c r="CF58" s="34"/>
      <c r="CG58" s="25"/>
      <c r="CH58" s="104"/>
      <c r="CI58" s="265"/>
      <c r="CJ58" s="278"/>
      <c r="CK58" s="34"/>
      <c r="CL58" s="35"/>
      <c r="CM58" s="104"/>
      <c r="CN58" s="265"/>
      <c r="CO58" s="278"/>
      <c r="CP58" s="34"/>
      <c r="CQ58" s="279"/>
      <c r="CR58" s="104"/>
      <c r="CS58" s="263"/>
      <c r="CT58" s="278"/>
      <c r="CU58" s="430"/>
      <c r="CV58" s="431"/>
      <c r="CW58" s="431"/>
      <c r="CX58" s="432"/>
      <c r="CY58" s="23"/>
      <c r="CZ58" s="171"/>
      <c r="DA58" s="171"/>
      <c r="DB58" s="172"/>
      <c r="DC58" s="433"/>
      <c r="DD58" s="65"/>
      <c r="DE58" s="65"/>
      <c r="DF58" s="434"/>
    </row>
    <row r="59" spans="1:110" x14ac:dyDescent="0.25">
      <c r="A59" s="5" t="s">
        <v>61</v>
      </c>
      <c r="B59" s="6">
        <v>54</v>
      </c>
      <c r="C59" s="456">
        <v>1125145</v>
      </c>
      <c r="D59" s="83">
        <f>'Qrtrly Cash Balances'!C56</f>
        <v>1321349.6100000001</v>
      </c>
      <c r="E59" s="35">
        <f>RUTF!$D57</f>
        <v>341958.29</v>
      </c>
      <c r="F59" s="401">
        <f>RUTF!$E57</f>
        <v>375083.09</v>
      </c>
      <c r="G59" s="406">
        <f>RUTF!$F57</f>
        <v>0</v>
      </c>
      <c r="H59" s="155">
        <f>RUTF!$G57</f>
        <v>0</v>
      </c>
      <c r="I59" s="156">
        <f>Federal!$F56+Federal!$J56+Federal!$N56+Federal!$R56</f>
        <v>528043.46</v>
      </c>
      <c r="J59" s="155">
        <f>'Co Contrib'!C56+'Co Contrib'!D56+'Co Contrib'!E56+'Co Contrib'!F56+'Other Rev'!E56+'Other Rev'!H56+'Other Rev'!K56+'Other Rev'!N56</f>
        <v>0</v>
      </c>
      <c r="K59" s="149">
        <f>-1*(Expenditures!H56+Expenditures!N56+Expenditures!T56+Expenditures!Z56)</f>
        <v>-660054.34</v>
      </c>
      <c r="L59" s="74">
        <f>'Qrtrly Obligations'!U55</f>
        <v>-1275508.07</v>
      </c>
      <c r="M59" s="246">
        <f t="shared" si="3"/>
        <v>1275508.07</v>
      </c>
      <c r="N59" s="248">
        <f t="shared" si="4"/>
        <v>0</v>
      </c>
      <c r="O59" s="54">
        <f t="shared" si="5"/>
        <v>1275508.07</v>
      </c>
      <c r="P59" s="255">
        <f t="shared" si="6"/>
        <v>0</v>
      </c>
      <c r="Q59" s="246">
        <f t="shared" si="7"/>
        <v>0</v>
      </c>
      <c r="R59" s="248">
        <f t="shared" si="8"/>
        <v>0</v>
      </c>
      <c r="S59" s="54">
        <f t="shared" si="9"/>
        <v>0</v>
      </c>
      <c r="T59" s="255">
        <f t="shared" si="10"/>
        <v>0</v>
      </c>
      <c r="U59" s="246">
        <f t="shared" si="11"/>
        <v>1275508.07</v>
      </c>
      <c r="V59" s="248">
        <f t="shared" si="12"/>
        <v>0</v>
      </c>
      <c r="W59" s="54">
        <f t="shared" si="13"/>
        <v>1275508.07</v>
      </c>
      <c r="X59" s="255">
        <f t="shared" si="14"/>
        <v>0</v>
      </c>
      <c r="Y59" s="246">
        <f t="shared" si="15"/>
        <v>0</v>
      </c>
      <c r="Z59" s="248">
        <f t="shared" si="16"/>
        <v>0</v>
      </c>
      <c r="AA59" s="54">
        <f t="shared" si="17"/>
        <v>0</v>
      </c>
      <c r="AB59" s="255">
        <f t="shared" si="18"/>
        <v>0</v>
      </c>
      <c r="AC59" s="246">
        <f t="shared" si="19"/>
        <v>0</v>
      </c>
      <c r="AD59" s="248">
        <f t="shared" si="20"/>
        <v>0</v>
      </c>
      <c r="AE59" s="54">
        <f t="shared" si="21"/>
        <v>0</v>
      </c>
      <c r="AF59" s="255">
        <f t="shared" si="22"/>
        <v>0</v>
      </c>
      <c r="AG59" s="83">
        <f t="shared" si="23"/>
        <v>1906380.1100000003</v>
      </c>
      <c r="AH59" s="146">
        <f t="shared" si="24"/>
        <v>630872.04000000027</v>
      </c>
      <c r="AI59" s="181">
        <f t="shared" si="25"/>
        <v>630872.04000000027</v>
      </c>
      <c r="AJ59" s="182">
        <f t="shared" si="26"/>
        <v>0.56070287829568655</v>
      </c>
      <c r="AK59" s="183">
        <f t="shared" si="27"/>
        <v>4006307.04</v>
      </c>
      <c r="AL59" s="7">
        <f t="shared" si="28"/>
        <v>6256597.04</v>
      </c>
      <c r="AM59" s="23"/>
      <c r="AN59" s="24"/>
      <c r="AO59" s="104"/>
      <c r="AP59" s="265"/>
      <c r="AQ59" s="364"/>
      <c r="AR59" s="23"/>
      <c r="AS59" s="24"/>
      <c r="AT59" s="104"/>
      <c r="AU59" s="265"/>
      <c r="AV59" s="364"/>
      <c r="AW59" s="23"/>
      <c r="AX59" s="24"/>
      <c r="AY59" s="104"/>
      <c r="AZ59" s="265"/>
      <c r="BA59" s="364"/>
      <c r="BB59" s="23"/>
      <c r="BC59" s="24"/>
      <c r="BD59" s="25"/>
      <c r="BE59" s="265"/>
      <c r="BF59" s="364"/>
      <c r="BG59" s="34">
        <v>1275508.07</v>
      </c>
      <c r="BH59" s="35"/>
      <c r="BI59" s="25">
        <v>1275508.07</v>
      </c>
      <c r="BJ59" s="265"/>
      <c r="BK59" s="364"/>
      <c r="BL59" s="34"/>
      <c r="BM59" s="93"/>
      <c r="BN59" s="99"/>
      <c r="BO59" s="265"/>
      <c r="BP59" s="364"/>
      <c r="BQ59" s="34"/>
      <c r="BR59" s="35"/>
      <c r="BS59" s="99"/>
      <c r="BT59" s="263"/>
      <c r="BU59" s="364"/>
      <c r="BV59" s="23"/>
      <c r="BW59" s="24"/>
      <c r="BX59" s="104"/>
      <c r="BY59" s="263"/>
      <c r="BZ59" s="364"/>
      <c r="CA59" s="34"/>
      <c r="CB59" s="35"/>
      <c r="CC59" s="104"/>
      <c r="CD59" s="265"/>
      <c r="CE59" s="364"/>
      <c r="CF59" s="34"/>
      <c r="CG59" s="35"/>
      <c r="CH59" s="99"/>
      <c r="CI59" s="265"/>
      <c r="CJ59" s="364"/>
      <c r="CK59" s="23"/>
      <c r="CL59" s="24"/>
      <c r="CM59" s="104"/>
      <c r="CN59" s="265"/>
      <c r="CO59" s="364"/>
      <c r="CP59" s="34"/>
      <c r="CQ59" s="279"/>
      <c r="CR59" s="104"/>
      <c r="CS59" s="263"/>
      <c r="CT59" s="364"/>
      <c r="CU59" s="430"/>
      <c r="CV59" s="431"/>
      <c r="CW59" s="431"/>
      <c r="CX59" s="432"/>
      <c r="CY59" s="23"/>
      <c r="CZ59" s="171"/>
      <c r="DA59" s="171"/>
      <c r="DB59" s="172"/>
      <c r="DC59" s="433"/>
      <c r="DD59" s="65"/>
      <c r="DE59" s="65"/>
      <c r="DF59" s="434"/>
    </row>
    <row r="60" spans="1:110" x14ac:dyDescent="0.25">
      <c r="A60" s="9" t="s">
        <v>62</v>
      </c>
      <c r="B60" s="17">
        <v>55</v>
      </c>
      <c r="C60" s="457">
        <v>2009493</v>
      </c>
      <c r="D60" s="84">
        <f>'Qrtrly Cash Balances'!C57</f>
        <v>-3620477.01</v>
      </c>
      <c r="E60" s="33">
        <f>RUTF!$D58</f>
        <v>610732.80000000005</v>
      </c>
      <c r="F60" s="402">
        <f>RUTF!$E58</f>
        <v>669893.23</v>
      </c>
      <c r="G60" s="160">
        <f>RUTF!$F58</f>
        <v>0</v>
      </c>
      <c r="H60" s="159">
        <f>RUTF!$G58</f>
        <v>0</v>
      </c>
      <c r="I60" s="160">
        <f>Federal!$F57+Federal!$J57+Federal!$N57+Federal!$R57</f>
        <v>505384.79000000004</v>
      </c>
      <c r="J60" s="159">
        <f>'Co Contrib'!C57+'Co Contrib'!D57+'Co Contrib'!E57+'Co Contrib'!F57+'Other Rev'!E57+'Other Rev'!H57+'Other Rev'!K57+'Other Rev'!N57</f>
        <v>0</v>
      </c>
      <c r="K60" s="151">
        <f>-1*(Expenditures!H57+Expenditures!N57+Expenditures!T57+Expenditures!Z57)</f>
        <v>-616031.13</v>
      </c>
      <c r="L60" s="56">
        <f>'Qrtrly Obligations'!U56</f>
        <v>-1026111.18</v>
      </c>
      <c r="M60" s="249">
        <f t="shared" si="3"/>
        <v>4859560.7300000004</v>
      </c>
      <c r="N60" s="250">
        <f t="shared" si="4"/>
        <v>295795.53999999998</v>
      </c>
      <c r="O60" s="253">
        <f t="shared" si="5"/>
        <v>3385523.0300000003</v>
      </c>
      <c r="P60" s="256">
        <f t="shared" si="6"/>
        <v>0</v>
      </c>
      <c r="Q60" s="249">
        <f t="shared" si="7"/>
        <v>0</v>
      </c>
      <c r="R60" s="250">
        <f t="shared" si="8"/>
        <v>0</v>
      </c>
      <c r="S60" s="253">
        <f t="shared" si="9"/>
        <v>0</v>
      </c>
      <c r="T60" s="256">
        <f t="shared" si="10"/>
        <v>0</v>
      </c>
      <c r="U60" s="249">
        <f t="shared" si="11"/>
        <v>0</v>
      </c>
      <c r="V60" s="250">
        <f t="shared" si="12"/>
        <v>0</v>
      </c>
      <c r="W60" s="253">
        <f t="shared" si="13"/>
        <v>0</v>
      </c>
      <c r="X60" s="256">
        <f t="shared" si="14"/>
        <v>0</v>
      </c>
      <c r="Y60" s="249">
        <f t="shared" si="15"/>
        <v>4859560.7300000004</v>
      </c>
      <c r="Z60" s="250">
        <f t="shared" si="16"/>
        <v>295795.53999999998</v>
      </c>
      <c r="AA60" s="253">
        <f t="shared" si="17"/>
        <v>3385523.0300000003</v>
      </c>
      <c r="AB60" s="256">
        <f t="shared" si="18"/>
        <v>0</v>
      </c>
      <c r="AC60" s="249">
        <f t="shared" si="19"/>
        <v>0</v>
      </c>
      <c r="AD60" s="250">
        <f t="shared" si="20"/>
        <v>0</v>
      </c>
      <c r="AE60" s="253">
        <f t="shared" si="21"/>
        <v>0</v>
      </c>
      <c r="AF60" s="256">
        <f t="shared" si="22"/>
        <v>0</v>
      </c>
      <c r="AG60" s="84">
        <f t="shared" si="23"/>
        <v>-2450497.3199999998</v>
      </c>
      <c r="AH60" s="147">
        <f t="shared" si="24"/>
        <v>-3476608.5</v>
      </c>
      <c r="AI60" s="184">
        <f t="shared" si="25"/>
        <v>-7157927.0700000003</v>
      </c>
      <c r="AJ60" s="185">
        <f t="shared" si="26"/>
        <v>-3.5620562350801919</v>
      </c>
      <c r="AK60" s="183">
        <f t="shared" si="27"/>
        <v>-1129448.0700000003</v>
      </c>
      <c r="AL60" s="18">
        <f t="shared" si="28"/>
        <v>2889537.9299999997</v>
      </c>
      <c r="AM60" s="26"/>
      <c r="AN60" s="27"/>
      <c r="AO60" s="269"/>
      <c r="AP60" s="267"/>
      <c r="AQ60" s="174"/>
      <c r="AR60" s="26"/>
      <c r="AS60" s="27"/>
      <c r="AT60" s="269"/>
      <c r="AU60" s="267"/>
      <c r="AV60" s="174"/>
      <c r="AW60" s="26"/>
      <c r="AX60" s="27"/>
      <c r="AY60" s="269"/>
      <c r="AZ60" s="267"/>
      <c r="BA60" s="174"/>
      <c r="BB60" s="26"/>
      <c r="BC60" s="27"/>
      <c r="BD60" s="28"/>
      <c r="BE60" s="267"/>
      <c r="BF60" s="174"/>
      <c r="BG60" s="26"/>
      <c r="BH60" s="27"/>
      <c r="BI60" s="28"/>
      <c r="BJ60" s="267"/>
      <c r="BK60" s="174"/>
      <c r="BL60" s="26"/>
      <c r="BM60" s="173"/>
      <c r="BN60" s="269"/>
      <c r="BO60" s="267"/>
      <c r="BP60" s="174"/>
      <c r="BQ60" s="37"/>
      <c r="BR60" s="33"/>
      <c r="BS60" s="260"/>
      <c r="BT60" s="264"/>
      <c r="BU60" s="174"/>
      <c r="BV60" s="26"/>
      <c r="BW60" s="33"/>
      <c r="BX60" s="269"/>
      <c r="BY60" s="264"/>
      <c r="BZ60" s="174"/>
      <c r="CA60" s="37">
        <f>1341657.29+2043865.74+1474037.7</f>
        <v>4859560.7300000004</v>
      </c>
      <c r="CB60" s="50">
        <v>295795.53999999998</v>
      </c>
      <c r="CC60" s="260">
        <f>1341657.29+2043865.74</f>
        <v>3385523.0300000003</v>
      </c>
      <c r="CD60" s="267"/>
      <c r="CE60" s="174"/>
      <c r="CF60" s="37"/>
      <c r="CG60" s="33"/>
      <c r="CH60" s="269"/>
      <c r="CI60" s="267"/>
      <c r="CJ60" s="174"/>
      <c r="CK60" s="26"/>
      <c r="CL60" s="27"/>
      <c r="CM60" s="269"/>
      <c r="CN60" s="267"/>
      <c r="CO60" s="174"/>
      <c r="CP60" s="26"/>
      <c r="CQ60" s="173"/>
      <c r="CR60" s="269"/>
      <c r="CS60" s="264"/>
      <c r="CT60" s="174"/>
      <c r="CU60" s="437"/>
      <c r="CV60" s="438"/>
      <c r="CW60" s="438"/>
      <c r="CX60" s="439"/>
      <c r="CY60" s="26"/>
      <c r="CZ60" s="173"/>
      <c r="DA60" s="173"/>
      <c r="DB60" s="174"/>
      <c r="DC60" s="433"/>
      <c r="DD60" s="65"/>
      <c r="DE60" s="65"/>
      <c r="DF60" s="434"/>
    </row>
    <row r="61" spans="1:110" x14ac:dyDescent="0.25">
      <c r="A61" s="5" t="s">
        <v>63</v>
      </c>
      <c r="B61" s="6">
        <v>56</v>
      </c>
      <c r="C61" s="456">
        <v>1378041</v>
      </c>
      <c r="D61" s="83">
        <f>'Qrtrly Cash Balances'!C58</f>
        <v>3755847.36</v>
      </c>
      <c r="E61" s="35">
        <f>RUTF!$D59</f>
        <v>418819.45</v>
      </c>
      <c r="F61" s="401">
        <f>RUTF!$E59</f>
        <v>459389.64</v>
      </c>
      <c r="G61" s="406">
        <f>RUTF!$F59</f>
        <v>0</v>
      </c>
      <c r="H61" s="155">
        <f>RUTF!$G59</f>
        <v>0</v>
      </c>
      <c r="I61" s="156">
        <f>Federal!$F58+Federal!$J58+Federal!$N58+Federal!$R58</f>
        <v>1691664.98</v>
      </c>
      <c r="J61" s="155">
        <f>'Co Contrib'!C58+'Co Contrib'!D58+'Co Contrib'!E58+'Co Contrib'!F58+'Other Rev'!E58+'Other Rev'!H58+'Other Rev'!K58+'Other Rev'!N58</f>
        <v>75575</v>
      </c>
      <c r="K61" s="150">
        <f>-1*(Expenditures!H58+Expenditures!N58+Expenditures!T58+Expenditures!Z58)</f>
        <v>-3223935.4</v>
      </c>
      <c r="L61" s="74">
        <f>'Qrtrly Obligations'!U57</f>
        <v>-1650544.45</v>
      </c>
      <c r="M61" s="246">
        <f t="shared" si="3"/>
        <v>1646858.24</v>
      </c>
      <c r="N61" s="248">
        <f>$AN61+$AS61+$AX61+$BC61+$BH61+$BM61+$BR61+$BW61+$CB61+$CG61+$CL61+$CQ61</f>
        <v>312254.59999999998</v>
      </c>
      <c r="O61" s="54">
        <f>$AO61+$AT61+$AY61+$BD61+$BI61+$BN61+$BS61+$BX61+$CC61+$CH61+$CM61+$CR61+$CU61+$CV61+$CW61+$CX61+$CY61+$CZ$6+$DA$6+$DB$6</f>
        <v>0</v>
      </c>
      <c r="P61" s="255">
        <f t="shared" si="6"/>
        <v>0</v>
      </c>
      <c r="Q61" s="246">
        <f t="shared" si="7"/>
        <v>0</v>
      </c>
      <c r="R61" s="248">
        <f t="shared" si="8"/>
        <v>0</v>
      </c>
      <c r="S61" s="54">
        <f t="shared" si="9"/>
        <v>0</v>
      </c>
      <c r="T61" s="255">
        <f t="shared" si="10"/>
        <v>0</v>
      </c>
      <c r="U61" s="246">
        <f t="shared" si="11"/>
        <v>1646858.24</v>
      </c>
      <c r="V61" s="248">
        <f>$BC61+$BH61+$BM61</f>
        <v>312254.59999999998</v>
      </c>
      <c r="W61" s="54">
        <f>$BD61+$BI61+$BN61+$CV61+$CZ61</f>
        <v>0</v>
      </c>
      <c r="X61" s="255">
        <f t="shared" si="14"/>
        <v>0</v>
      </c>
      <c r="Y61" s="246">
        <f t="shared" si="15"/>
        <v>0</v>
      </c>
      <c r="Z61" s="248">
        <f t="shared" si="16"/>
        <v>0</v>
      </c>
      <c r="AA61" s="54">
        <f t="shared" si="17"/>
        <v>0</v>
      </c>
      <c r="AB61" s="255">
        <f t="shared" si="18"/>
        <v>0</v>
      </c>
      <c r="AC61" s="246">
        <f t="shared" si="19"/>
        <v>0</v>
      </c>
      <c r="AD61" s="248">
        <f t="shared" si="20"/>
        <v>0</v>
      </c>
      <c r="AE61" s="54">
        <f t="shared" si="21"/>
        <v>0</v>
      </c>
      <c r="AF61" s="255">
        <f t="shared" si="22"/>
        <v>0</v>
      </c>
      <c r="AG61" s="83">
        <f t="shared" si="23"/>
        <v>3177361.03</v>
      </c>
      <c r="AH61" s="146">
        <f t="shared" si="24"/>
        <v>1526816.5799999998</v>
      </c>
      <c r="AI61" s="181">
        <f t="shared" si="25"/>
        <v>1526816.5799999998</v>
      </c>
      <c r="AJ61" s="182">
        <f t="shared" si="26"/>
        <v>1.1079616499073683</v>
      </c>
      <c r="AK61" s="186">
        <f t="shared" si="27"/>
        <v>5660939.5800000001</v>
      </c>
      <c r="AL61" s="7">
        <f t="shared" si="28"/>
        <v>8417021.5800000001</v>
      </c>
      <c r="AM61" s="23"/>
      <c r="AN61" s="24"/>
      <c r="AO61" s="104"/>
      <c r="AP61" s="265"/>
      <c r="AQ61" s="278"/>
      <c r="AR61" s="34"/>
      <c r="AS61" s="35"/>
      <c r="AT61" s="104"/>
      <c r="AU61" s="265"/>
      <c r="AV61" s="278"/>
      <c r="AW61" s="23"/>
      <c r="AX61" s="24"/>
      <c r="AY61" s="104"/>
      <c r="AZ61" s="265"/>
      <c r="BA61" s="278"/>
      <c r="BB61" s="23"/>
      <c r="BC61" s="24"/>
      <c r="BD61" s="25"/>
      <c r="BE61" s="265"/>
      <c r="BF61" s="278"/>
      <c r="BG61" s="23">
        <v>478603.69</v>
      </c>
      <c r="BH61" s="24">
        <v>78603.69</v>
      </c>
      <c r="BI61" s="25"/>
      <c r="BJ61" s="265"/>
      <c r="BK61" s="278"/>
      <c r="BL61" s="23">
        <v>1168254.55</v>
      </c>
      <c r="BM61" s="93">
        <v>233650.91</v>
      </c>
      <c r="BN61" s="104"/>
      <c r="BO61" s="265"/>
      <c r="BP61" s="278"/>
      <c r="BQ61" s="34"/>
      <c r="BR61" s="35"/>
      <c r="BS61" s="99"/>
      <c r="BT61" s="263"/>
      <c r="BU61" s="278"/>
      <c r="BV61" s="23"/>
      <c r="BW61" s="24"/>
      <c r="BX61" s="104"/>
      <c r="BY61" s="263"/>
      <c r="BZ61" s="278"/>
      <c r="CA61" s="23"/>
      <c r="CB61" s="24"/>
      <c r="CC61" s="104"/>
      <c r="CD61" s="265"/>
      <c r="CE61" s="278"/>
      <c r="CF61" s="23"/>
      <c r="CG61" s="24"/>
      <c r="CH61" s="104"/>
      <c r="CI61" s="265"/>
      <c r="CJ61" s="278"/>
      <c r="CK61" s="34"/>
      <c r="CL61" s="24"/>
      <c r="CM61" s="104"/>
      <c r="CN61" s="265"/>
      <c r="CO61" s="278"/>
      <c r="CP61" s="34"/>
      <c r="CQ61" s="279"/>
      <c r="CR61" s="104"/>
      <c r="CS61" s="263"/>
      <c r="CT61" s="278"/>
      <c r="CU61" s="430"/>
      <c r="CV61" s="431"/>
      <c r="CW61" s="431"/>
      <c r="CX61" s="432"/>
      <c r="CY61" s="23"/>
      <c r="CZ61" s="171"/>
      <c r="DA61" s="171"/>
      <c r="DB61" s="172"/>
      <c r="DC61" s="433"/>
      <c r="DD61" s="65"/>
      <c r="DE61" s="65"/>
      <c r="DF61" s="434"/>
    </row>
    <row r="62" spans="1:110" x14ac:dyDescent="0.25">
      <c r="A62" s="5" t="s">
        <v>64</v>
      </c>
      <c r="B62" s="6">
        <v>57</v>
      </c>
      <c r="C62" s="456">
        <v>2428274</v>
      </c>
      <c r="D62" s="83">
        <f>'Qrtrly Cash Balances'!C59</f>
        <v>-581218.16</v>
      </c>
      <c r="E62" s="35">
        <f>RUTF!$D60</f>
        <v>738010.3</v>
      </c>
      <c r="F62" s="401">
        <f>RUTF!$E60</f>
        <v>809499.86</v>
      </c>
      <c r="G62" s="406">
        <f>RUTF!$F60</f>
        <v>0</v>
      </c>
      <c r="H62" s="155">
        <f>RUTF!$G60</f>
        <v>0</v>
      </c>
      <c r="I62" s="156">
        <f>Federal!$F59+Federal!$J59+Federal!$N59+Federal!$R59</f>
        <v>1099411.82</v>
      </c>
      <c r="J62" s="155">
        <f>'Co Contrib'!C59+'Co Contrib'!D59+'Co Contrib'!E59+'Co Contrib'!F59+'Other Rev'!E59+'Other Rev'!H59+'Other Rev'!K59+'Other Rev'!N59</f>
        <v>370741.84</v>
      </c>
      <c r="K62" s="149">
        <f>-1*(Expenditures!H59+Expenditures!N59+Expenditures!T59+Expenditures!Z59)</f>
        <v>-11922.41</v>
      </c>
      <c r="L62" s="74">
        <f>'Qrtrly Obligations'!U58</f>
        <v>0</v>
      </c>
      <c r="M62" s="246">
        <f t="shared" si="3"/>
        <v>2746550.15</v>
      </c>
      <c r="N62" s="248">
        <f t="shared" si="4"/>
        <v>0</v>
      </c>
      <c r="O62" s="54">
        <f t="shared" si="5"/>
        <v>2746550.15</v>
      </c>
      <c r="P62" s="255">
        <f t="shared" si="6"/>
        <v>0</v>
      </c>
      <c r="Q62" s="246">
        <f t="shared" si="7"/>
        <v>0</v>
      </c>
      <c r="R62" s="248">
        <f t="shared" si="8"/>
        <v>0</v>
      </c>
      <c r="S62" s="54">
        <f t="shared" si="9"/>
        <v>0</v>
      </c>
      <c r="T62" s="255">
        <f t="shared" si="10"/>
        <v>0</v>
      </c>
      <c r="U62" s="246">
        <f t="shared" si="11"/>
        <v>0</v>
      </c>
      <c r="V62" s="248">
        <f t="shared" si="12"/>
        <v>0</v>
      </c>
      <c r="W62" s="54">
        <f t="shared" si="13"/>
        <v>0</v>
      </c>
      <c r="X62" s="255">
        <f t="shared" si="14"/>
        <v>0</v>
      </c>
      <c r="Y62" s="246">
        <f t="shared" si="15"/>
        <v>2746550.15</v>
      </c>
      <c r="Z62" s="248">
        <f t="shared" si="16"/>
        <v>0</v>
      </c>
      <c r="AA62" s="54">
        <f t="shared" si="17"/>
        <v>2746550.15</v>
      </c>
      <c r="AB62" s="255">
        <f t="shared" si="18"/>
        <v>0</v>
      </c>
      <c r="AC62" s="246">
        <f t="shared" si="19"/>
        <v>0</v>
      </c>
      <c r="AD62" s="248">
        <f t="shared" si="20"/>
        <v>0</v>
      </c>
      <c r="AE62" s="54">
        <f t="shared" si="21"/>
        <v>0</v>
      </c>
      <c r="AF62" s="255">
        <f t="shared" si="22"/>
        <v>0</v>
      </c>
      <c r="AG62" s="83">
        <f t="shared" si="23"/>
        <v>2424523.25</v>
      </c>
      <c r="AH62" s="146">
        <f t="shared" si="24"/>
        <v>2424523.25</v>
      </c>
      <c r="AI62" s="181">
        <f t="shared" si="25"/>
        <v>-322026.89999999991</v>
      </c>
      <c r="AJ62" s="182">
        <f t="shared" si="26"/>
        <v>-0.1326155532695239</v>
      </c>
      <c r="AK62" s="183">
        <f t="shared" si="27"/>
        <v>6962795.0999999996</v>
      </c>
      <c r="AL62" s="7">
        <f t="shared" si="28"/>
        <v>11819343.1</v>
      </c>
      <c r="AM62" s="23"/>
      <c r="AN62" s="24"/>
      <c r="AO62" s="104"/>
      <c r="AP62" s="265"/>
      <c r="AQ62" s="278"/>
      <c r="AR62" s="23"/>
      <c r="AS62" s="24"/>
      <c r="AT62" s="104"/>
      <c r="AU62" s="265"/>
      <c r="AV62" s="278"/>
      <c r="AW62" s="23"/>
      <c r="AX62" s="24"/>
      <c r="AY62" s="104"/>
      <c r="AZ62" s="265"/>
      <c r="BA62" s="278"/>
      <c r="BB62" s="23"/>
      <c r="BC62" s="24"/>
      <c r="BD62" s="25"/>
      <c r="BE62" s="265"/>
      <c r="BF62" s="278"/>
      <c r="BG62" s="23"/>
      <c r="BH62" s="24"/>
      <c r="BI62" s="25"/>
      <c r="BJ62" s="265"/>
      <c r="BK62" s="278"/>
      <c r="BL62" s="23"/>
      <c r="BM62" s="93"/>
      <c r="BN62" s="104"/>
      <c r="BO62" s="265"/>
      <c r="BP62" s="278"/>
      <c r="BQ62" s="34"/>
      <c r="BR62" s="35"/>
      <c r="BS62" s="99"/>
      <c r="BT62" s="263"/>
      <c r="BU62" s="278"/>
      <c r="BV62" s="34"/>
      <c r="BW62" s="35"/>
      <c r="BX62" s="104"/>
      <c r="BY62" s="263"/>
      <c r="BZ62" s="278"/>
      <c r="CA62" s="34">
        <f>1466795+1279755.15</f>
        <v>2746550.15</v>
      </c>
      <c r="CB62" s="35"/>
      <c r="CC62" s="99">
        <f>1466795+1279755.15</f>
        <v>2746550.15</v>
      </c>
      <c r="CD62" s="265"/>
      <c r="CE62" s="278"/>
      <c r="CF62" s="34"/>
      <c r="CG62" s="24"/>
      <c r="CH62" s="99"/>
      <c r="CI62" s="265"/>
      <c r="CJ62" s="278"/>
      <c r="CK62" s="34"/>
      <c r="CL62" s="24"/>
      <c r="CM62" s="99"/>
      <c r="CN62" s="265"/>
      <c r="CO62" s="278"/>
      <c r="CP62" s="34"/>
      <c r="CQ62" s="279"/>
      <c r="CR62" s="104"/>
      <c r="CS62" s="263"/>
      <c r="CT62" s="278"/>
      <c r="CU62" s="430"/>
      <c r="CV62" s="431"/>
      <c r="CW62" s="431"/>
      <c r="CX62" s="432"/>
      <c r="CY62" s="23"/>
      <c r="CZ62" s="171"/>
      <c r="DA62" s="171"/>
      <c r="DB62" s="172"/>
      <c r="DC62" s="433"/>
      <c r="DD62" s="65"/>
      <c r="DE62" s="65"/>
      <c r="DF62" s="434"/>
    </row>
    <row r="63" spans="1:110" s="32" customFormat="1" x14ac:dyDescent="0.25">
      <c r="A63" s="5" t="s">
        <v>65</v>
      </c>
      <c r="B63" s="6">
        <v>58</v>
      </c>
      <c r="C63" s="456">
        <v>898269</v>
      </c>
      <c r="D63" s="83">
        <f>'Qrtrly Cash Balances'!C60</f>
        <v>1464657.2</v>
      </c>
      <c r="E63" s="35">
        <f>RUTF!$D61</f>
        <v>273005.39</v>
      </c>
      <c r="F63" s="401">
        <f>RUTF!$E61</f>
        <v>299450.86</v>
      </c>
      <c r="G63" s="407">
        <f>RUTF!$F61</f>
        <v>0</v>
      </c>
      <c r="H63" s="157">
        <f>RUTF!$G61</f>
        <v>0</v>
      </c>
      <c r="I63" s="158">
        <f>Federal!$F60+Federal!$J60+Federal!$N60+Federal!$R60</f>
        <v>0</v>
      </c>
      <c r="J63" s="157">
        <f>'Co Contrib'!C60+'Co Contrib'!D60+'Co Contrib'!E60+'Co Contrib'!F60+'Other Rev'!E60+'Other Rev'!H60+'Other Rev'!K60+'Other Rev'!N60</f>
        <v>0</v>
      </c>
      <c r="K63" s="150">
        <f>-1*(Expenditures!H60+Expenditures!N60+Expenditures!T60+Expenditures!Z60)</f>
        <v>0</v>
      </c>
      <c r="L63" s="74">
        <f>'Qrtrly Obligations'!U59</f>
        <v>-2422389.7000000002</v>
      </c>
      <c r="M63" s="246">
        <f t="shared" si="3"/>
        <v>2279115.5700000003</v>
      </c>
      <c r="N63" s="248">
        <f t="shared" si="4"/>
        <v>0</v>
      </c>
      <c r="O63" s="54">
        <f t="shared" si="5"/>
        <v>2279115.5700000003</v>
      </c>
      <c r="P63" s="255">
        <f t="shared" si="6"/>
        <v>0</v>
      </c>
      <c r="Q63" s="246">
        <f t="shared" si="7"/>
        <v>0</v>
      </c>
      <c r="R63" s="248">
        <f t="shared" si="8"/>
        <v>0</v>
      </c>
      <c r="S63" s="54">
        <f t="shared" si="9"/>
        <v>0</v>
      </c>
      <c r="T63" s="255">
        <f t="shared" si="10"/>
        <v>0</v>
      </c>
      <c r="U63" s="246">
        <f t="shared" si="11"/>
        <v>2279115.5700000003</v>
      </c>
      <c r="V63" s="248">
        <f t="shared" si="12"/>
        <v>0</v>
      </c>
      <c r="W63" s="54">
        <f t="shared" si="13"/>
        <v>2279115.5700000003</v>
      </c>
      <c r="X63" s="255">
        <f t="shared" si="14"/>
        <v>0</v>
      </c>
      <c r="Y63" s="246">
        <f t="shared" si="15"/>
        <v>0</v>
      </c>
      <c r="Z63" s="248">
        <f t="shared" si="16"/>
        <v>0</v>
      </c>
      <c r="AA63" s="54">
        <f t="shared" si="17"/>
        <v>0</v>
      </c>
      <c r="AB63" s="255">
        <f t="shared" si="18"/>
        <v>0</v>
      </c>
      <c r="AC63" s="246">
        <f t="shared" si="19"/>
        <v>0</v>
      </c>
      <c r="AD63" s="248">
        <f t="shared" si="20"/>
        <v>0</v>
      </c>
      <c r="AE63" s="54">
        <f t="shared" si="21"/>
        <v>0</v>
      </c>
      <c r="AF63" s="255">
        <f t="shared" si="22"/>
        <v>0</v>
      </c>
      <c r="AG63" s="83">
        <f t="shared" si="23"/>
        <v>2037113.4499999997</v>
      </c>
      <c r="AH63" s="146">
        <f t="shared" si="24"/>
        <v>-385276.25000000047</v>
      </c>
      <c r="AI63" s="181">
        <f t="shared" si="25"/>
        <v>-385276.25000000047</v>
      </c>
      <c r="AJ63" s="182">
        <f t="shared" si="26"/>
        <v>-0.42890965846533774</v>
      </c>
      <c r="AK63" s="183">
        <f t="shared" si="27"/>
        <v>2309530.7499999995</v>
      </c>
      <c r="AL63" s="7">
        <f t="shared" si="28"/>
        <v>4106068.7499999995</v>
      </c>
      <c r="AM63" s="23"/>
      <c r="AN63" s="24"/>
      <c r="AO63" s="104"/>
      <c r="AP63" s="265"/>
      <c r="AQ63" s="278"/>
      <c r="AR63" s="34"/>
      <c r="AS63" s="35"/>
      <c r="AT63" s="104"/>
      <c r="AU63" s="265"/>
      <c r="AV63" s="278"/>
      <c r="AW63" s="23"/>
      <c r="AX63" s="24"/>
      <c r="AY63" s="104"/>
      <c r="AZ63" s="265"/>
      <c r="BA63" s="278"/>
      <c r="BB63" s="23"/>
      <c r="BC63" s="24"/>
      <c r="BD63" s="25"/>
      <c r="BE63" s="265"/>
      <c r="BF63" s="278"/>
      <c r="BG63" s="23">
        <f>1510157.1+217201.22+551757.25</f>
        <v>2279115.5700000003</v>
      </c>
      <c r="BH63" s="24"/>
      <c r="BI63" s="25">
        <f>1510157.1+217201.22+551757.25</f>
        <v>2279115.5700000003</v>
      </c>
      <c r="BJ63" s="265"/>
      <c r="BK63" s="278"/>
      <c r="BL63" s="23"/>
      <c r="BM63" s="93"/>
      <c r="BN63" s="104"/>
      <c r="BO63" s="265"/>
      <c r="BP63" s="278"/>
      <c r="BQ63" s="34"/>
      <c r="BR63" s="35"/>
      <c r="BS63" s="99"/>
      <c r="BT63" s="263"/>
      <c r="BU63" s="278"/>
      <c r="BV63" s="23"/>
      <c r="BW63" s="24"/>
      <c r="BX63" s="104"/>
      <c r="BY63" s="263"/>
      <c r="BZ63" s="278"/>
      <c r="CA63" s="23"/>
      <c r="CB63" s="24"/>
      <c r="CC63" s="104"/>
      <c r="CD63" s="265"/>
      <c r="CE63" s="278"/>
      <c r="CF63" s="23"/>
      <c r="CG63" s="24"/>
      <c r="CH63" s="104"/>
      <c r="CI63" s="265"/>
      <c r="CJ63" s="278"/>
      <c r="CK63" s="34"/>
      <c r="CL63" s="35"/>
      <c r="CM63" s="104"/>
      <c r="CN63" s="265"/>
      <c r="CO63" s="278"/>
      <c r="CP63" s="23"/>
      <c r="CQ63" s="171"/>
      <c r="CR63" s="104"/>
      <c r="CS63" s="263"/>
      <c r="CT63" s="278"/>
      <c r="CU63" s="430"/>
      <c r="CV63" s="431"/>
      <c r="CW63" s="431"/>
      <c r="CX63" s="432"/>
      <c r="CY63" s="23"/>
      <c r="CZ63" s="171"/>
      <c r="DA63" s="171"/>
      <c r="DB63" s="172"/>
      <c r="DC63" s="433"/>
      <c r="DD63" s="435"/>
      <c r="DE63" s="435"/>
      <c r="DF63" s="436"/>
    </row>
    <row r="64" spans="1:110" x14ac:dyDescent="0.25">
      <c r="A64" s="5" t="s">
        <v>113</v>
      </c>
      <c r="B64" s="6">
        <v>59</v>
      </c>
      <c r="C64" s="456">
        <v>769802</v>
      </c>
      <c r="D64" s="85">
        <f>'Qrtrly Cash Balances'!C61</f>
        <v>-583483.25</v>
      </c>
      <c r="E64" s="35">
        <f>RUTF!$D62</f>
        <v>233960.92</v>
      </c>
      <c r="F64" s="401">
        <f>RUTF!$E62</f>
        <v>256624.23</v>
      </c>
      <c r="G64" s="406">
        <f>RUTF!$F62</f>
        <v>0</v>
      </c>
      <c r="H64" s="155">
        <f>RUTF!$G62</f>
        <v>0</v>
      </c>
      <c r="I64" s="156">
        <f>Federal!$F61+Federal!$J61+Federal!$N61+Federal!$R61</f>
        <v>0</v>
      </c>
      <c r="J64" s="155">
        <f>'Co Contrib'!C61+'Co Contrib'!D61+'Co Contrib'!E61+'Co Contrib'!F61+'Other Rev'!E61+'Other Rev'!H61+'Other Rev'!K61+'Other Rev'!N61</f>
        <v>0</v>
      </c>
      <c r="K64" s="149">
        <f>-1*(Expenditures!H61+Expenditures!N61+Expenditures!T61+Expenditures!Z61)</f>
        <v>-14100.89</v>
      </c>
      <c r="L64" s="74">
        <f>'Qrtrly Obligations'!U60</f>
        <v>-68114.41</v>
      </c>
      <c r="M64" s="246">
        <f t="shared" si="3"/>
        <v>0</v>
      </c>
      <c r="N64" s="248">
        <f t="shared" si="4"/>
        <v>0</v>
      </c>
      <c r="O64" s="54">
        <f t="shared" si="5"/>
        <v>0</v>
      </c>
      <c r="P64" s="255">
        <f t="shared" si="6"/>
        <v>0</v>
      </c>
      <c r="Q64" s="246">
        <f t="shared" si="7"/>
        <v>0</v>
      </c>
      <c r="R64" s="248">
        <f t="shared" si="8"/>
        <v>0</v>
      </c>
      <c r="S64" s="54">
        <f t="shared" si="9"/>
        <v>0</v>
      </c>
      <c r="T64" s="255">
        <f t="shared" si="10"/>
        <v>0</v>
      </c>
      <c r="U64" s="246">
        <f t="shared" si="11"/>
        <v>0</v>
      </c>
      <c r="V64" s="248">
        <f t="shared" si="12"/>
        <v>0</v>
      </c>
      <c r="W64" s="54">
        <f t="shared" si="13"/>
        <v>0</v>
      </c>
      <c r="X64" s="255">
        <f t="shared" si="14"/>
        <v>0</v>
      </c>
      <c r="Y64" s="246">
        <f t="shared" si="15"/>
        <v>0</v>
      </c>
      <c r="Z64" s="248">
        <f t="shared" si="16"/>
        <v>0</v>
      </c>
      <c r="AA64" s="54">
        <f t="shared" si="17"/>
        <v>0</v>
      </c>
      <c r="AB64" s="255">
        <f t="shared" si="18"/>
        <v>0</v>
      </c>
      <c r="AC64" s="246">
        <f t="shared" si="19"/>
        <v>0</v>
      </c>
      <c r="AD64" s="248">
        <f t="shared" si="20"/>
        <v>0</v>
      </c>
      <c r="AE64" s="54">
        <f t="shared" si="21"/>
        <v>0</v>
      </c>
      <c r="AF64" s="255">
        <f t="shared" si="22"/>
        <v>0</v>
      </c>
      <c r="AG64" s="83">
        <f t="shared" si="23"/>
        <v>-106998.98999999995</v>
      </c>
      <c r="AH64" s="146">
        <f t="shared" si="24"/>
        <v>-175113.39999999997</v>
      </c>
      <c r="AI64" s="181">
        <f t="shared" si="25"/>
        <v>-175113.39999999997</v>
      </c>
      <c r="AJ64" s="182">
        <f t="shared" si="26"/>
        <v>-0.22747849447000654</v>
      </c>
      <c r="AK64" s="183">
        <f t="shared" si="27"/>
        <v>2134292.6</v>
      </c>
      <c r="AL64" s="7">
        <f t="shared" si="28"/>
        <v>3673896.6</v>
      </c>
      <c r="AM64" s="23"/>
      <c r="AN64" s="24"/>
      <c r="AO64" s="104"/>
      <c r="AP64" s="265"/>
      <c r="AQ64" s="278"/>
      <c r="AR64" s="23"/>
      <c r="AS64" s="24"/>
      <c r="AT64" s="104"/>
      <c r="AU64" s="265"/>
      <c r="AV64" s="278"/>
      <c r="AW64" s="23"/>
      <c r="AX64" s="24"/>
      <c r="AY64" s="104"/>
      <c r="AZ64" s="265"/>
      <c r="BA64" s="278"/>
      <c r="BB64" s="23"/>
      <c r="BC64" s="24"/>
      <c r="BD64" s="25"/>
      <c r="BE64" s="265"/>
      <c r="BF64" s="278"/>
      <c r="BG64" s="23"/>
      <c r="BH64" s="24"/>
      <c r="BI64" s="25"/>
      <c r="BJ64" s="265"/>
      <c r="BK64" s="278"/>
      <c r="BL64" s="23"/>
      <c r="BM64" s="93"/>
      <c r="BN64" s="104"/>
      <c r="BO64" s="265"/>
      <c r="BP64" s="278"/>
      <c r="BQ64" s="34"/>
      <c r="BR64" s="35"/>
      <c r="BS64" s="99"/>
      <c r="BT64" s="263"/>
      <c r="BU64" s="278"/>
      <c r="BV64" s="34"/>
      <c r="BW64" s="35"/>
      <c r="BX64" s="104"/>
      <c r="BY64" s="263"/>
      <c r="BZ64" s="278"/>
      <c r="CA64" s="23"/>
      <c r="CB64" s="24"/>
      <c r="CC64" s="104"/>
      <c r="CD64" s="265"/>
      <c r="CE64" s="278"/>
      <c r="CF64" s="23"/>
      <c r="CG64" s="24"/>
      <c r="CH64" s="104"/>
      <c r="CI64" s="265"/>
      <c r="CJ64" s="278"/>
      <c r="CK64" s="23"/>
      <c r="CL64" s="24"/>
      <c r="CM64" s="104"/>
      <c r="CN64" s="265"/>
      <c r="CO64" s="278"/>
      <c r="CP64" s="23"/>
      <c r="CQ64" s="171"/>
      <c r="CR64" s="104"/>
      <c r="CS64" s="263"/>
      <c r="CT64" s="278"/>
      <c r="CU64" s="430"/>
      <c r="CV64" s="431"/>
      <c r="CW64" s="431"/>
      <c r="CX64" s="432"/>
      <c r="CY64" s="23"/>
      <c r="CZ64" s="171"/>
      <c r="DA64" s="171"/>
      <c r="DB64" s="172"/>
      <c r="DC64" s="433"/>
      <c r="DD64" s="65"/>
      <c r="DE64" s="65"/>
      <c r="DF64" s="434"/>
    </row>
    <row r="65" spans="1:110" x14ac:dyDescent="0.25">
      <c r="A65" s="9" t="s">
        <v>66</v>
      </c>
      <c r="B65" s="17">
        <v>60</v>
      </c>
      <c r="C65" s="457">
        <v>1390637</v>
      </c>
      <c r="D65" s="84">
        <f>'Qrtrly Cash Balances'!C62</f>
        <v>1482674.6</v>
      </c>
      <c r="E65" s="33">
        <f>RUTF!$D63</f>
        <v>422647.72</v>
      </c>
      <c r="F65" s="402">
        <f>RUTF!$E63</f>
        <v>463588.74</v>
      </c>
      <c r="G65" s="160">
        <f>RUTF!$F63</f>
        <v>0</v>
      </c>
      <c r="H65" s="159">
        <f>RUTF!$G63</f>
        <v>0</v>
      </c>
      <c r="I65" s="160">
        <f>Federal!$F62+Federal!$J62+Federal!$N62+Federal!$R62</f>
        <v>0</v>
      </c>
      <c r="J65" s="159">
        <f>'Co Contrib'!C62+'Co Contrib'!D62+'Co Contrib'!E62+'Co Contrib'!F62+'Other Rev'!E62+'Other Rev'!H62+'Other Rev'!K62+'Other Rev'!N62</f>
        <v>0</v>
      </c>
      <c r="K65" s="151">
        <f>-1*(Expenditures!H62+Expenditures!N62+Expenditures!T62+Expenditures!Z62)</f>
        <v>-2118551.6800000002</v>
      </c>
      <c r="L65" s="56">
        <f>'Qrtrly Obligations'!U61</f>
        <v>-456358.28</v>
      </c>
      <c r="M65" s="249">
        <f t="shared" si="3"/>
        <v>0</v>
      </c>
      <c r="N65" s="250">
        <f t="shared" si="4"/>
        <v>0</v>
      </c>
      <c r="O65" s="253">
        <f t="shared" si="5"/>
        <v>0</v>
      </c>
      <c r="P65" s="256">
        <f t="shared" si="6"/>
        <v>0</v>
      </c>
      <c r="Q65" s="249">
        <f t="shared" si="7"/>
        <v>0</v>
      </c>
      <c r="R65" s="250">
        <f t="shared" si="8"/>
        <v>0</v>
      </c>
      <c r="S65" s="253">
        <f t="shared" si="9"/>
        <v>0</v>
      </c>
      <c r="T65" s="256">
        <f t="shared" si="10"/>
        <v>0</v>
      </c>
      <c r="U65" s="249">
        <f t="shared" si="11"/>
        <v>0</v>
      </c>
      <c r="V65" s="250">
        <f t="shared" si="12"/>
        <v>0</v>
      </c>
      <c r="W65" s="253">
        <f t="shared" si="13"/>
        <v>0</v>
      </c>
      <c r="X65" s="256">
        <f t="shared" si="14"/>
        <v>0</v>
      </c>
      <c r="Y65" s="249">
        <f t="shared" si="15"/>
        <v>0</v>
      </c>
      <c r="Z65" s="250">
        <f t="shared" si="16"/>
        <v>0</v>
      </c>
      <c r="AA65" s="253">
        <f t="shared" si="17"/>
        <v>0</v>
      </c>
      <c r="AB65" s="256">
        <f t="shared" si="18"/>
        <v>0</v>
      </c>
      <c r="AC65" s="249">
        <f t="shared" si="19"/>
        <v>0</v>
      </c>
      <c r="AD65" s="250">
        <f t="shared" si="20"/>
        <v>0</v>
      </c>
      <c r="AE65" s="253">
        <f t="shared" si="21"/>
        <v>0</v>
      </c>
      <c r="AF65" s="256">
        <f t="shared" si="22"/>
        <v>0</v>
      </c>
      <c r="AG65" s="84">
        <f t="shared" si="23"/>
        <v>250359.37999999989</v>
      </c>
      <c r="AH65" s="147">
        <f t="shared" si="24"/>
        <v>-205998.90000000014</v>
      </c>
      <c r="AI65" s="184">
        <f t="shared" si="25"/>
        <v>-205998.90000000014</v>
      </c>
      <c r="AJ65" s="185">
        <f t="shared" si="26"/>
        <v>-0.1481327621802096</v>
      </c>
      <c r="AK65" s="183">
        <f t="shared" si="27"/>
        <v>3965912.0999999996</v>
      </c>
      <c r="AL65" s="18">
        <f t="shared" si="28"/>
        <v>6747186.0999999996</v>
      </c>
      <c r="AM65" s="26"/>
      <c r="AN65" s="27"/>
      <c r="AO65" s="269"/>
      <c r="AP65" s="267"/>
      <c r="AQ65" s="367"/>
      <c r="AR65" s="26"/>
      <c r="AS65" s="27"/>
      <c r="AT65" s="269"/>
      <c r="AU65" s="267"/>
      <c r="AV65" s="367"/>
      <c r="AW65" s="26"/>
      <c r="AX65" s="27"/>
      <c r="AY65" s="269"/>
      <c r="AZ65" s="267"/>
      <c r="BA65" s="367"/>
      <c r="BB65" s="26"/>
      <c r="BC65" s="27"/>
      <c r="BD65" s="28"/>
      <c r="BE65" s="267"/>
      <c r="BF65" s="367"/>
      <c r="BG65" s="26"/>
      <c r="BH65" s="27"/>
      <c r="BI65" s="28"/>
      <c r="BJ65" s="267"/>
      <c r="BK65" s="367"/>
      <c r="BL65" s="26"/>
      <c r="BM65" s="365"/>
      <c r="BN65" s="260"/>
      <c r="BO65" s="267"/>
      <c r="BP65" s="367"/>
      <c r="BQ65" s="37"/>
      <c r="BR65" s="33"/>
      <c r="BS65" s="260"/>
      <c r="BT65" s="264"/>
      <c r="BU65" s="367"/>
      <c r="BV65" s="37"/>
      <c r="BW65" s="33"/>
      <c r="BX65" s="269"/>
      <c r="BY65" s="264"/>
      <c r="BZ65" s="367"/>
      <c r="CA65" s="26"/>
      <c r="CB65" s="27"/>
      <c r="CC65" s="269"/>
      <c r="CD65" s="267"/>
      <c r="CE65" s="367"/>
      <c r="CF65" s="26"/>
      <c r="CG65" s="27"/>
      <c r="CH65" s="269"/>
      <c r="CI65" s="267"/>
      <c r="CJ65" s="367"/>
      <c r="CK65" s="37"/>
      <c r="CL65" s="33"/>
      <c r="CM65" s="269"/>
      <c r="CN65" s="267"/>
      <c r="CO65" s="367"/>
      <c r="CP65" s="26"/>
      <c r="CQ65" s="173"/>
      <c r="CR65" s="269"/>
      <c r="CS65" s="264"/>
      <c r="CT65" s="367"/>
      <c r="CU65" s="437"/>
      <c r="CV65" s="438"/>
      <c r="CW65" s="438"/>
      <c r="CX65" s="439"/>
      <c r="CY65" s="26"/>
      <c r="CZ65" s="173"/>
      <c r="DA65" s="173"/>
      <c r="DB65" s="174"/>
      <c r="DC65" s="433"/>
      <c r="DD65" s="65"/>
      <c r="DE65" s="65"/>
      <c r="DF65" s="434"/>
    </row>
    <row r="66" spans="1:110" x14ac:dyDescent="0.25">
      <c r="A66" s="5" t="s">
        <v>67</v>
      </c>
      <c r="B66" s="6">
        <v>61</v>
      </c>
      <c r="C66" s="456">
        <v>1295872</v>
      </c>
      <c r="D66" s="83">
        <f>'Qrtrly Cash Balances'!C63</f>
        <v>-361971.37</v>
      </c>
      <c r="E66" s="35">
        <f>RUTF!$D64</f>
        <v>393846.46</v>
      </c>
      <c r="F66" s="401">
        <f>RUTF!$E64</f>
        <v>431997.56</v>
      </c>
      <c r="G66" s="406">
        <f>RUTF!$F64</f>
        <v>0</v>
      </c>
      <c r="H66" s="155">
        <f>RUTF!$G64</f>
        <v>0</v>
      </c>
      <c r="I66" s="156">
        <f>Federal!$F63+Federal!$J63+Federal!$N63+Federal!$R63</f>
        <v>14318.76</v>
      </c>
      <c r="J66" s="155">
        <f>'Co Contrib'!C63+'Co Contrib'!D63+'Co Contrib'!E63+'Co Contrib'!F63+'Other Rev'!E63+'Other Rev'!H63+'Other Rev'!K63+'Other Rev'!N63</f>
        <v>0</v>
      </c>
      <c r="K66" s="149">
        <f>-1*(Expenditures!H63+Expenditures!N63+Expenditures!T63+Expenditures!Z63)</f>
        <v>-218626.76</v>
      </c>
      <c r="L66" s="74">
        <f>'Qrtrly Obligations'!U62</f>
        <v>-687182.27</v>
      </c>
      <c r="M66" s="246">
        <f t="shared" si="3"/>
        <v>4037999.99</v>
      </c>
      <c r="N66" s="248">
        <f t="shared" si="4"/>
        <v>0</v>
      </c>
      <c r="O66" s="54">
        <f t="shared" si="5"/>
        <v>4037999.99</v>
      </c>
      <c r="P66" s="255">
        <f t="shared" si="6"/>
        <v>0</v>
      </c>
      <c r="Q66" s="246">
        <f t="shared" si="7"/>
        <v>0</v>
      </c>
      <c r="R66" s="248">
        <f t="shared" si="8"/>
        <v>0</v>
      </c>
      <c r="S66" s="54">
        <f t="shared" si="9"/>
        <v>0</v>
      </c>
      <c r="T66" s="255">
        <f t="shared" si="10"/>
        <v>0</v>
      </c>
      <c r="U66" s="246">
        <f t="shared" si="11"/>
        <v>0</v>
      </c>
      <c r="V66" s="248">
        <f t="shared" si="12"/>
        <v>0</v>
      </c>
      <c r="W66" s="54">
        <f t="shared" si="13"/>
        <v>0</v>
      </c>
      <c r="X66" s="255">
        <f t="shared" si="14"/>
        <v>0</v>
      </c>
      <c r="Y66" s="246">
        <f>$BQ66+$BV66+$CA66+$CW66+$DA66</f>
        <v>4037999.99</v>
      </c>
      <c r="Z66" s="248">
        <f t="shared" si="16"/>
        <v>0</v>
      </c>
      <c r="AA66" s="54">
        <f>$BS66+$BX66+$CC66+$CW66+$DA66</f>
        <v>4037999.99</v>
      </c>
      <c r="AB66" s="255">
        <f t="shared" si="18"/>
        <v>0</v>
      </c>
      <c r="AC66" s="246">
        <f t="shared" si="19"/>
        <v>0</v>
      </c>
      <c r="AD66" s="248">
        <f t="shared" si="20"/>
        <v>0</v>
      </c>
      <c r="AE66" s="54">
        <f t="shared" si="21"/>
        <v>0</v>
      </c>
      <c r="AF66" s="255">
        <f t="shared" si="22"/>
        <v>0</v>
      </c>
      <c r="AG66" s="83">
        <f t="shared" si="23"/>
        <v>259564.65000000002</v>
      </c>
      <c r="AH66" s="146">
        <f t="shared" si="24"/>
        <v>-427617.62</v>
      </c>
      <c r="AI66" s="181">
        <f t="shared" si="25"/>
        <v>-4465617.6100000003</v>
      </c>
      <c r="AJ66" s="182">
        <f t="shared" si="26"/>
        <v>-3.4460329492419008</v>
      </c>
      <c r="AK66" s="186">
        <f t="shared" si="27"/>
        <v>-578001.61000000034</v>
      </c>
      <c r="AL66" s="7">
        <f t="shared" si="28"/>
        <v>2013742.3899999997</v>
      </c>
      <c r="AM66" s="23"/>
      <c r="AN66" s="24"/>
      <c r="AO66" s="99"/>
      <c r="AP66" s="265"/>
      <c r="AQ66" s="278"/>
      <c r="AR66" s="23"/>
      <c r="AS66" s="24"/>
      <c r="AT66" s="104"/>
      <c r="AU66" s="265"/>
      <c r="AV66" s="278"/>
      <c r="AW66" s="23"/>
      <c r="AX66" s="24"/>
      <c r="AY66" s="104"/>
      <c r="AZ66" s="265"/>
      <c r="BA66" s="278"/>
      <c r="BB66" s="23"/>
      <c r="BC66" s="24"/>
      <c r="BD66" s="25"/>
      <c r="BE66" s="265"/>
      <c r="BF66" s="278"/>
      <c r="BG66" s="23"/>
      <c r="BH66" s="24"/>
      <c r="BI66" s="25"/>
      <c r="BJ66" s="265"/>
      <c r="BK66" s="278"/>
      <c r="BL66" s="23"/>
      <c r="BM66" s="93"/>
      <c r="BN66" s="104"/>
      <c r="BO66" s="265"/>
      <c r="BP66" s="278"/>
      <c r="BQ66" s="34">
        <v>4037999.99</v>
      </c>
      <c r="BR66" s="35"/>
      <c r="BS66" s="99">
        <v>4037999.99</v>
      </c>
      <c r="BT66" s="263"/>
      <c r="BU66" s="278"/>
      <c r="BV66" s="34"/>
      <c r="BW66" s="93"/>
      <c r="BX66" s="270"/>
      <c r="BY66" s="263"/>
      <c r="BZ66" s="278"/>
      <c r="CA66" s="34"/>
      <c r="CB66" s="24"/>
      <c r="CC66" s="99"/>
      <c r="CD66" s="265"/>
      <c r="CE66" s="278"/>
      <c r="CF66" s="23"/>
      <c r="CG66" s="24"/>
      <c r="CH66" s="104"/>
      <c r="CI66" s="265"/>
      <c r="CJ66" s="278"/>
      <c r="CK66" s="34"/>
      <c r="CL66" s="24"/>
      <c r="CM66" s="99"/>
      <c r="CN66" s="265"/>
      <c r="CO66" s="278"/>
      <c r="CP66" s="23"/>
      <c r="CQ66" s="171"/>
      <c r="CR66" s="104"/>
      <c r="CS66" s="263"/>
      <c r="CT66" s="278"/>
      <c r="CU66" s="430"/>
      <c r="CV66" s="431"/>
      <c r="CW66" s="431"/>
      <c r="CX66" s="432"/>
      <c r="CY66" s="23"/>
      <c r="CZ66" s="171"/>
      <c r="DA66" s="171"/>
      <c r="DB66" s="172"/>
      <c r="DC66" s="433"/>
      <c r="DD66" s="65"/>
      <c r="DE66" s="65"/>
      <c r="DF66" s="434"/>
    </row>
    <row r="67" spans="1:110" x14ac:dyDescent="0.25">
      <c r="A67" s="5" t="s">
        <v>68</v>
      </c>
      <c r="B67" s="6">
        <v>62</v>
      </c>
      <c r="C67" s="456">
        <v>1246229</v>
      </c>
      <c r="D67" s="83">
        <f>'Qrtrly Cash Balances'!C64</f>
        <v>-2397554.5</v>
      </c>
      <c r="E67" s="35">
        <f>RUTF!$D65</f>
        <v>378758.76</v>
      </c>
      <c r="F67" s="401">
        <f>RUTF!$E65</f>
        <v>415448.35</v>
      </c>
      <c r="G67" s="406">
        <f>RUTF!$F65</f>
        <v>0</v>
      </c>
      <c r="H67" s="155">
        <f>RUTF!$G65</f>
        <v>0</v>
      </c>
      <c r="I67" s="156">
        <f>Federal!$F64+Federal!$J64+Federal!$N64+Federal!$R64</f>
        <v>691044.52</v>
      </c>
      <c r="J67" s="155">
        <f>'Co Contrib'!C64+'Co Contrib'!D64+'Co Contrib'!E64+'Co Contrib'!F64+'Other Rev'!E64+'Other Rev'!H64+'Other Rev'!K64+'Other Rev'!N64</f>
        <v>0</v>
      </c>
      <c r="K67" s="149">
        <f>-1*(Expenditures!H64+Expenditures!N64+Expenditures!T64+Expenditures!Z64)</f>
        <v>-691044.52</v>
      </c>
      <c r="L67" s="74">
        <f>'Qrtrly Obligations'!U63</f>
        <v>-178638.78</v>
      </c>
      <c r="M67" s="246">
        <f t="shared" si="3"/>
        <v>0</v>
      </c>
      <c r="N67" s="248">
        <f t="shared" si="4"/>
        <v>0</v>
      </c>
      <c r="O67" s="54">
        <f t="shared" si="5"/>
        <v>0</v>
      </c>
      <c r="P67" s="255">
        <f t="shared" si="6"/>
        <v>0</v>
      </c>
      <c r="Q67" s="246">
        <f t="shared" si="7"/>
        <v>0</v>
      </c>
      <c r="R67" s="248">
        <f t="shared" si="8"/>
        <v>0</v>
      </c>
      <c r="S67" s="54">
        <f t="shared" si="9"/>
        <v>0</v>
      </c>
      <c r="T67" s="255">
        <f t="shared" si="10"/>
        <v>0</v>
      </c>
      <c r="U67" s="246">
        <f t="shared" si="11"/>
        <v>0</v>
      </c>
      <c r="V67" s="248">
        <f t="shared" si="12"/>
        <v>0</v>
      </c>
      <c r="W67" s="54">
        <f t="shared" si="13"/>
        <v>0</v>
      </c>
      <c r="X67" s="255">
        <f t="shared" si="14"/>
        <v>0</v>
      </c>
      <c r="Y67" s="246">
        <f t="shared" si="15"/>
        <v>0</v>
      </c>
      <c r="Z67" s="248">
        <f t="shared" si="16"/>
        <v>0</v>
      </c>
      <c r="AA67" s="54">
        <f t="shared" si="17"/>
        <v>0</v>
      </c>
      <c r="AB67" s="255">
        <f t="shared" si="18"/>
        <v>0</v>
      </c>
      <c r="AC67" s="246">
        <f t="shared" si="19"/>
        <v>0</v>
      </c>
      <c r="AD67" s="248">
        <f t="shared" si="20"/>
        <v>0</v>
      </c>
      <c r="AE67" s="54">
        <f t="shared" si="21"/>
        <v>0</v>
      </c>
      <c r="AF67" s="255">
        <f t="shared" si="22"/>
        <v>0</v>
      </c>
      <c r="AG67" s="83">
        <f t="shared" si="23"/>
        <v>-1603347.3900000001</v>
      </c>
      <c r="AH67" s="146">
        <f t="shared" si="24"/>
        <v>-1781986.1700000002</v>
      </c>
      <c r="AI67" s="181">
        <f t="shared" si="25"/>
        <v>-1781986.1700000002</v>
      </c>
      <c r="AJ67" s="182">
        <f t="shared" si="26"/>
        <v>-1.4299026663638867</v>
      </c>
      <c r="AK67" s="183">
        <f t="shared" si="27"/>
        <v>1956700.8299999998</v>
      </c>
      <c r="AL67" s="7">
        <f t="shared" si="28"/>
        <v>4449158.83</v>
      </c>
      <c r="AM67" s="34"/>
      <c r="AN67" s="35"/>
      <c r="AO67" s="104"/>
      <c r="AP67" s="265"/>
      <c r="AQ67" s="278"/>
      <c r="AR67" s="34"/>
      <c r="AS67" s="24"/>
      <c r="AT67" s="99"/>
      <c r="AU67" s="265"/>
      <c r="AV67" s="278"/>
      <c r="AW67" s="23"/>
      <c r="AX67" s="24"/>
      <c r="AY67" s="104"/>
      <c r="AZ67" s="265"/>
      <c r="BA67" s="278"/>
      <c r="BB67" s="23"/>
      <c r="BC67" s="24"/>
      <c r="BD67" s="25"/>
      <c r="BE67" s="265"/>
      <c r="BF67" s="278"/>
      <c r="BG67" s="23"/>
      <c r="BH67" s="24"/>
      <c r="BI67" s="25"/>
      <c r="BJ67" s="265"/>
      <c r="BK67" s="278"/>
      <c r="BL67" s="23"/>
      <c r="BM67" s="93"/>
      <c r="BN67" s="104"/>
      <c r="BO67" s="265"/>
      <c r="BP67" s="278"/>
      <c r="BQ67" s="34"/>
      <c r="BR67" s="35"/>
      <c r="BS67" s="99"/>
      <c r="BT67" s="263"/>
      <c r="BU67" s="278"/>
      <c r="BV67" s="23"/>
      <c r="BW67" s="24"/>
      <c r="BX67" s="104"/>
      <c r="BY67" s="263"/>
      <c r="BZ67" s="278"/>
      <c r="CA67" s="23"/>
      <c r="CB67" s="24"/>
      <c r="CC67" s="104"/>
      <c r="CD67" s="265"/>
      <c r="CE67" s="278"/>
      <c r="CF67" s="34"/>
      <c r="CG67" s="35"/>
      <c r="CH67" s="104"/>
      <c r="CI67" s="265"/>
      <c r="CJ67" s="278"/>
      <c r="CK67" s="34"/>
      <c r="CL67" s="24"/>
      <c r="CM67" s="99"/>
      <c r="CN67" s="265"/>
      <c r="CO67" s="278"/>
      <c r="CP67" s="23"/>
      <c r="CQ67" s="171"/>
      <c r="CR67" s="104"/>
      <c r="CS67" s="263"/>
      <c r="CT67" s="278"/>
      <c r="CU67" s="430"/>
      <c r="CV67" s="431"/>
      <c r="CW67" s="431"/>
      <c r="CX67" s="432"/>
      <c r="CY67" s="23"/>
      <c r="CZ67" s="171"/>
      <c r="DA67" s="171"/>
      <c r="DB67" s="172"/>
      <c r="DC67" s="433"/>
      <c r="DD67" s="65"/>
      <c r="DE67" s="65"/>
      <c r="DF67" s="434"/>
    </row>
    <row r="68" spans="1:110" x14ac:dyDescent="0.25">
      <c r="A68" s="5" t="s">
        <v>69</v>
      </c>
      <c r="B68" s="6">
        <v>63</v>
      </c>
      <c r="C68" s="456">
        <v>1523552</v>
      </c>
      <c r="D68" s="83">
        <f>'Qrtrly Cash Balances'!C65</f>
        <v>505123.03</v>
      </c>
      <c r="E68" s="35">
        <f>RUTF!$D66</f>
        <v>463043.65</v>
      </c>
      <c r="F68" s="401">
        <f>RUTF!$E66</f>
        <v>507897.75</v>
      </c>
      <c r="G68" s="406">
        <f>RUTF!$F66</f>
        <v>0</v>
      </c>
      <c r="H68" s="155">
        <f>RUTF!$G66</f>
        <v>0</v>
      </c>
      <c r="I68" s="156">
        <f>Federal!$F65+Federal!$J65+Federal!$N65+Federal!$R65</f>
        <v>1011626.3</v>
      </c>
      <c r="J68" s="155">
        <f>'Co Contrib'!C65+'Co Contrib'!D65+'Co Contrib'!E65+'Co Contrib'!F65+'Other Rev'!E65+'Other Rev'!H65+'Other Rev'!K65+'Other Rev'!N65</f>
        <v>0</v>
      </c>
      <c r="K68" s="149">
        <f>-1*(Expenditures!H65+Expenditures!N65+Expenditures!T65+Expenditures!Z65)</f>
        <v>-1712335.5</v>
      </c>
      <c r="L68" s="74">
        <f>'Qrtrly Obligations'!U64</f>
        <v>-185651.99</v>
      </c>
      <c r="M68" s="246">
        <f t="shared" si="3"/>
        <v>2108361.16</v>
      </c>
      <c r="N68" s="248">
        <f t="shared" si="4"/>
        <v>0</v>
      </c>
      <c r="O68" s="54">
        <f t="shared" si="5"/>
        <v>2108361.16</v>
      </c>
      <c r="P68" s="255">
        <f t="shared" si="6"/>
        <v>0</v>
      </c>
      <c r="Q68" s="246">
        <f t="shared" si="7"/>
        <v>0</v>
      </c>
      <c r="R68" s="248">
        <f t="shared" si="8"/>
        <v>0</v>
      </c>
      <c r="S68" s="54">
        <f t="shared" si="9"/>
        <v>0</v>
      </c>
      <c r="T68" s="255">
        <f t="shared" si="10"/>
        <v>0</v>
      </c>
      <c r="U68" s="246">
        <f t="shared" si="11"/>
        <v>0</v>
      </c>
      <c r="V68" s="248">
        <f t="shared" si="12"/>
        <v>0</v>
      </c>
      <c r="W68" s="54">
        <f t="shared" si="13"/>
        <v>0</v>
      </c>
      <c r="X68" s="255">
        <f t="shared" si="14"/>
        <v>0</v>
      </c>
      <c r="Y68" s="246">
        <f t="shared" si="15"/>
        <v>2108361.16</v>
      </c>
      <c r="Z68" s="248">
        <f t="shared" si="16"/>
        <v>0</v>
      </c>
      <c r="AA68" s="54">
        <f t="shared" si="17"/>
        <v>2108361.16</v>
      </c>
      <c r="AB68" s="255">
        <f t="shared" si="18"/>
        <v>0</v>
      </c>
      <c r="AC68" s="246">
        <f t="shared" si="19"/>
        <v>0</v>
      </c>
      <c r="AD68" s="248">
        <f t="shared" si="20"/>
        <v>0</v>
      </c>
      <c r="AE68" s="54">
        <f t="shared" si="21"/>
        <v>0</v>
      </c>
      <c r="AF68" s="255">
        <f t="shared" si="22"/>
        <v>0</v>
      </c>
      <c r="AG68" s="83">
        <f t="shared" si="23"/>
        <v>775355.23000000045</v>
      </c>
      <c r="AH68" s="146">
        <f t="shared" si="24"/>
        <v>589703.24000000046</v>
      </c>
      <c r="AI68" s="181">
        <f t="shared" si="25"/>
        <v>-1518657.9199999997</v>
      </c>
      <c r="AJ68" s="182">
        <f t="shared" si="26"/>
        <v>-0.99678771712419378</v>
      </c>
      <c r="AK68" s="183">
        <f t="shared" si="27"/>
        <v>3051998.08</v>
      </c>
      <c r="AL68" s="7">
        <f t="shared" si="28"/>
        <v>6099102.0800000001</v>
      </c>
      <c r="AM68" s="34"/>
      <c r="AN68" s="93"/>
      <c r="AO68" s="270"/>
      <c r="AP68" s="265"/>
      <c r="AQ68" s="278"/>
      <c r="AR68" s="34"/>
      <c r="AS68" s="24"/>
      <c r="AT68" s="99"/>
      <c r="AU68" s="265"/>
      <c r="AV68" s="278"/>
      <c r="AW68" s="23"/>
      <c r="AX68" s="24"/>
      <c r="AY68" s="104"/>
      <c r="AZ68" s="265"/>
      <c r="BA68" s="278"/>
      <c r="BB68" s="23"/>
      <c r="BC68" s="24"/>
      <c r="BD68" s="25"/>
      <c r="BE68" s="265"/>
      <c r="BF68" s="278"/>
      <c r="BG68" s="34"/>
      <c r="BH68" s="35"/>
      <c r="BI68" s="36"/>
      <c r="BJ68" s="265"/>
      <c r="BK68" s="278"/>
      <c r="BL68" s="23"/>
      <c r="BM68" s="93"/>
      <c r="BN68" s="104"/>
      <c r="BO68" s="265"/>
      <c r="BP68" s="278"/>
      <c r="BQ68" s="34">
        <v>2108361.16</v>
      </c>
      <c r="BR68" s="35"/>
      <c r="BS68" s="99">
        <v>2108361.16</v>
      </c>
      <c r="BT68" s="263"/>
      <c r="BU68" s="278"/>
      <c r="BV68" s="23"/>
      <c r="BW68" s="93"/>
      <c r="BX68" s="271"/>
      <c r="BY68" s="263"/>
      <c r="BZ68" s="278"/>
      <c r="CA68" s="23"/>
      <c r="CB68" s="24"/>
      <c r="CC68" s="104"/>
      <c r="CD68" s="265"/>
      <c r="CE68" s="278"/>
      <c r="CF68" s="23"/>
      <c r="CG68" s="24"/>
      <c r="CH68" s="104"/>
      <c r="CI68" s="265"/>
      <c r="CJ68" s="278"/>
      <c r="CK68" s="34"/>
      <c r="CL68" s="35"/>
      <c r="CM68" s="104"/>
      <c r="CN68" s="265"/>
      <c r="CO68" s="278"/>
      <c r="CP68" s="23"/>
      <c r="CQ68" s="171"/>
      <c r="CR68" s="104"/>
      <c r="CS68" s="263"/>
      <c r="CT68" s="278"/>
      <c r="CU68" s="430"/>
      <c r="CV68" s="431"/>
      <c r="CW68" s="431"/>
      <c r="CX68" s="432"/>
      <c r="CY68" s="23"/>
      <c r="CZ68" s="171"/>
      <c r="DA68" s="171"/>
      <c r="DB68" s="172"/>
      <c r="DC68" s="433"/>
      <c r="DD68" s="65"/>
      <c r="DE68" s="65"/>
      <c r="DF68" s="434"/>
    </row>
    <row r="69" spans="1:110" x14ac:dyDescent="0.25">
      <c r="A69" s="5" t="s">
        <v>70</v>
      </c>
      <c r="B69" s="6">
        <v>64</v>
      </c>
      <c r="C69" s="456">
        <v>1407455</v>
      </c>
      <c r="D69" s="83">
        <f>'Qrtrly Cash Balances'!C66</f>
        <v>1447964.25</v>
      </c>
      <c r="E69" s="35">
        <f>RUTF!$D67</f>
        <v>427759.17</v>
      </c>
      <c r="F69" s="401">
        <f>RUTF!$E67</f>
        <v>469195.32</v>
      </c>
      <c r="G69" s="406">
        <f>RUTF!$F67</f>
        <v>0</v>
      </c>
      <c r="H69" s="155">
        <f>RUTF!$G67</f>
        <v>0</v>
      </c>
      <c r="I69" s="156">
        <f>Federal!$F66+Federal!$J66+Federal!$N66+Federal!$R66</f>
        <v>0</v>
      </c>
      <c r="J69" s="155">
        <f>'Co Contrib'!C66+'Co Contrib'!D66+'Co Contrib'!E66+'Co Contrib'!F66+'Other Rev'!E66+'Other Rev'!H66+'Other Rev'!K66+'Other Rev'!N66</f>
        <v>0</v>
      </c>
      <c r="K69" s="149">
        <f>-1*(Expenditures!H66+Expenditures!N66+Expenditures!T66+Expenditures!Z66)</f>
        <v>-127388.04999999999</v>
      </c>
      <c r="L69" s="74">
        <f>'Qrtrly Obligations'!U65</f>
        <v>-3768.51</v>
      </c>
      <c r="M69" s="246">
        <f t="shared" si="3"/>
        <v>862755.59</v>
      </c>
      <c r="N69" s="248">
        <f t="shared" si="4"/>
        <v>0</v>
      </c>
      <c r="O69" s="54">
        <f t="shared" si="5"/>
        <v>862755.59</v>
      </c>
      <c r="P69" s="255">
        <f t="shared" si="6"/>
        <v>0</v>
      </c>
      <c r="Q69" s="246">
        <f t="shared" si="7"/>
        <v>0</v>
      </c>
      <c r="R69" s="248">
        <f t="shared" si="8"/>
        <v>0</v>
      </c>
      <c r="S69" s="54">
        <f t="shared" si="9"/>
        <v>0</v>
      </c>
      <c r="T69" s="255">
        <f t="shared" si="10"/>
        <v>0</v>
      </c>
      <c r="U69" s="246">
        <f t="shared" si="11"/>
        <v>0</v>
      </c>
      <c r="V69" s="248">
        <f t="shared" si="12"/>
        <v>0</v>
      </c>
      <c r="W69" s="54">
        <f t="shared" si="13"/>
        <v>0</v>
      </c>
      <c r="X69" s="255">
        <f t="shared" si="14"/>
        <v>0</v>
      </c>
      <c r="Y69" s="246">
        <f t="shared" si="15"/>
        <v>862755.59</v>
      </c>
      <c r="Z69" s="248">
        <f t="shared" si="16"/>
        <v>0</v>
      </c>
      <c r="AA69" s="54">
        <f t="shared" si="17"/>
        <v>862755.59</v>
      </c>
      <c r="AB69" s="255">
        <f t="shared" si="18"/>
        <v>0</v>
      </c>
      <c r="AC69" s="246">
        <f t="shared" si="19"/>
        <v>0</v>
      </c>
      <c r="AD69" s="248">
        <f t="shared" si="20"/>
        <v>0</v>
      </c>
      <c r="AE69" s="54">
        <f t="shared" si="21"/>
        <v>0</v>
      </c>
      <c r="AF69" s="255">
        <f t="shared" si="22"/>
        <v>0</v>
      </c>
      <c r="AG69" s="83">
        <f t="shared" si="23"/>
        <v>2217530.69</v>
      </c>
      <c r="AH69" s="146">
        <f t="shared" si="24"/>
        <v>2213762.1800000002</v>
      </c>
      <c r="AI69" s="181">
        <f t="shared" si="25"/>
        <v>1351006.5900000003</v>
      </c>
      <c r="AJ69" s="182">
        <f t="shared" si="26"/>
        <v>0.95989327545108039</v>
      </c>
      <c r="AK69" s="183">
        <f t="shared" si="27"/>
        <v>5573371.5899999999</v>
      </c>
      <c r="AL69" s="7">
        <f t="shared" si="28"/>
        <v>8388281.5899999999</v>
      </c>
      <c r="AM69" s="23"/>
      <c r="AN69" s="24"/>
      <c r="AO69" s="104"/>
      <c r="AP69" s="265"/>
      <c r="AQ69" s="278"/>
      <c r="AR69" s="34"/>
      <c r="AS69" s="24"/>
      <c r="AT69" s="99"/>
      <c r="AU69" s="265"/>
      <c r="AV69" s="278"/>
      <c r="AW69" s="23"/>
      <c r="AX69" s="24"/>
      <c r="AY69" s="104"/>
      <c r="AZ69" s="265"/>
      <c r="BA69" s="278"/>
      <c r="BB69" s="23"/>
      <c r="BC69" s="24"/>
      <c r="BD69" s="25"/>
      <c r="BE69" s="265"/>
      <c r="BF69" s="278"/>
      <c r="BG69" s="23"/>
      <c r="BH69" s="24"/>
      <c r="BI69" s="25"/>
      <c r="BJ69" s="265"/>
      <c r="BK69" s="278"/>
      <c r="BL69" s="34"/>
      <c r="BM69" s="94"/>
      <c r="BN69" s="104"/>
      <c r="BO69" s="265"/>
      <c r="BP69" s="278"/>
      <c r="BQ69" s="34"/>
      <c r="BR69" s="35"/>
      <c r="BS69" s="99"/>
      <c r="BT69" s="263"/>
      <c r="BU69" s="278"/>
      <c r="BV69" s="23"/>
      <c r="BW69" s="24"/>
      <c r="BX69" s="104"/>
      <c r="BY69" s="263"/>
      <c r="BZ69" s="278"/>
      <c r="CA69" s="34">
        <v>862755.59</v>
      </c>
      <c r="CB69" s="99"/>
      <c r="CC69" s="99">
        <v>862755.59</v>
      </c>
      <c r="CD69" s="265"/>
      <c r="CE69" s="278"/>
      <c r="CF69" s="34"/>
      <c r="CG69" s="35"/>
      <c r="CH69" s="104"/>
      <c r="CI69" s="265"/>
      <c r="CJ69" s="278"/>
      <c r="CK69" s="23"/>
      <c r="CL69" s="24"/>
      <c r="CM69" s="104"/>
      <c r="CN69" s="265"/>
      <c r="CO69" s="278"/>
      <c r="CP69" s="23"/>
      <c r="CQ69" s="171"/>
      <c r="CR69" s="104"/>
      <c r="CS69" s="263"/>
      <c r="CT69" s="278"/>
      <c r="CU69" s="430"/>
      <c r="CV69" s="431"/>
      <c r="CW69" s="431"/>
      <c r="CX69" s="432"/>
      <c r="CY69" s="23"/>
      <c r="CZ69" s="171"/>
      <c r="DA69" s="171"/>
      <c r="DB69" s="172"/>
      <c r="DC69" s="433"/>
      <c r="DD69" s="65"/>
      <c r="DE69" s="65"/>
      <c r="DF69" s="434"/>
    </row>
    <row r="70" spans="1:110" ht="14.25" customHeight="1" x14ac:dyDescent="0.25">
      <c r="A70" s="9" t="s">
        <v>71</v>
      </c>
      <c r="B70" s="17">
        <v>65</v>
      </c>
      <c r="C70" s="457">
        <v>1145470</v>
      </c>
      <c r="D70" s="84">
        <f>'Qrtrly Cash Balances'!C67</f>
        <v>-1373230.51</v>
      </c>
      <c r="E70" s="33">
        <f>RUTF!$D68</f>
        <v>348135.5</v>
      </c>
      <c r="F70" s="402">
        <f>RUTF!$E68</f>
        <v>381858.67</v>
      </c>
      <c r="G70" s="160">
        <f>RUTF!$F68</f>
        <v>0</v>
      </c>
      <c r="H70" s="159">
        <f>RUTF!$G68</f>
        <v>0</v>
      </c>
      <c r="I70" s="160">
        <f>Federal!$F67+Federal!$J67+Federal!$N67+Federal!$R67</f>
        <v>315246.26</v>
      </c>
      <c r="J70" s="159">
        <f>'Co Contrib'!C67+'Co Contrib'!D67+'Co Contrib'!E67+'Co Contrib'!F67+'Other Rev'!E67+'Other Rev'!H67+'Other Rev'!K67+'Other Rev'!N67</f>
        <v>0</v>
      </c>
      <c r="K70" s="151">
        <f>-1*(Expenditures!H67+Expenditures!N67+Expenditures!T67+Expenditures!Z67)</f>
        <v>-734551.5</v>
      </c>
      <c r="L70" s="56">
        <f>'Qrtrly Obligations'!U66</f>
        <v>-234664.8</v>
      </c>
      <c r="M70" s="249">
        <f t="shared" si="3"/>
        <v>0</v>
      </c>
      <c r="N70" s="250">
        <f t="shared" si="4"/>
        <v>0</v>
      </c>
      <c r="O70" s="253">
        <f t="shared" si="5"/>
        <v>0</v>
      </c>
      <c r="P70" s="256">
        <f t="shared" si="6"/>
        <v>0</v>
      </c>
      <c r="Q70" s="249">
        <f t="shared" si="7"/>
        <v>0</v>
      </c>
      <c r="R70" s="250">
        <f t="shared" si="8"/>
        <v>0</v>
      </c>
      <c r="S70" s="253">
        <f t="shared" si="9"/>
        <v>0</v>
      </c>
      <c r="T70" s="256">
        <f t="shared" si="10"/>
        <v>0</v>
      </c>
      <c r="U70" s="249">
        <f t="shared" si="11"/>
        <v>0</v>
      </c>
      <c r="V70" s="250">
        <f t="shared" si="12"/>
        <v>0</v>
      </c>
      <c r="W70" s="253">
        <f t="shared" si="13"/>
        <v>0</v>
      </c>
      <c r="X70" s="256">
        <f t="shared" si="14"/>
        <v>0</v>
      </c>
      <c r="Y70" s="249">
        <f t="shared" si="15"/>
        <v>0</v>
      </c>
      <c r="Z70" s="250">
        <f t="shared" si="16"/>
        <v>0</v>
      </c>
      <c r="AA70" s="253">
        <f t="shared" si="17"/>
        <v>0</v>
      </c>
      <c r="AB70" s="256">
        <f t="shared" si="18"/>
        <v>0</v>
      </c>
      <c r="AC70" s="249">
        <f t="shared" si="19"/>
        <v>0</v>
      </c>
      <c r="AD70" s="250">
        <f t="shared" si="20"/>
        <v>0</v>
      </c>
      <c r="AE70" s="253">
        <f t="shared" si="21"/>
        <v>0</v>
      </c>
      <c r="AF70" s="256">
        <f t="shared" si="22"/>
        <v>0</v>
      </c>
      <c r="AG70" s="84">
        <f t="shared" si="23"/>
        <v>-1062541.58</v>
      </c>
      <c r="AH70" s="147">
        <f t="shared" si="24"/>
        <v>-1297206.3800000001</v>
      </c>
      <c r="AI70" s="184">
        <f t="shared" si="25"/>
        <v>-1297206.3800000001</v>
      </c>
      <c r="AJ70" s="185">
        <f t="shared" ref="AJ70:AJ101" si="29">AI70/C70</f>
        <v>-1.132466481007796</v>
      </c>
      <c r="AK70" s="183">
        <f t="shared" ref="AK70:AK104" si="30">(C70*3)+AI70</f>
        <v>2139203.62</v>
      </c>
      <c r="AL70" s="18">
        <f t="shared" ref="AL70:AL105" si="31">(C70*5)+AI70</f>
        <v>4430143.62</v>
      </c>
      <c r="AM70" s="37"/>
      <c r="AN70" s="33"/>
      <c r="AO70" s="269"/>
      <c r="AP70" s="267"/>
      <c r="AQ70" s="174"/>
      <c r="AR70" s="37"/>
      <c r="AS70" s="27"/>
      <c r="AT70" s="260"/>
      <c r="AU70" s="267"/>
      <c r="AV70" s="174"/>
      <c r="AW70" s="63"/>
      <c r="AX70" s="33"/>
      <c r="AY70" s="269"/>
      <c r="AZ70" s="267"/>
      <c r="BA70" s="174"/>
      <c r="BB70" s="37"/>
      <c r="BC70" s="33"/>
      <c r="BD70" s="28"/>
      <c r="BE70" s="267"/>
      <c r="BF70" s="174"/>
      <c r="BG70" s="26"/>
      <c r="BH70" s="27"/>
      <c r="BI70" s="28"/>
      <c r="BJ70" s="267"/>
      <c r="BK70" s="174"/>
      <c r="BL70" s="26"/>
      <c r="BM70" s="173"/>
      <c r="BN70" s="269"/>
      <c r="BO70" s="267"/>
      <c r="BP70" s="174"/>
      <c r="BQ70" s="37"/>
      <c r="BR70" s="33"/>
      <c r="BS70" s="260"/>
      <c r="BT70" s="264"/>
      <c r="BU70" s="174"/>
      <c r="BV70" s="37"/>
      <c r="BW70" s="33"/>
      <c r="BX70" s="269"/>
      <c r="BY70" s="264"/>
      <c r="BZ70" s="174"/>
      <c r="CA70" s="26"/>
      <c r="CB70" s="27"/>
      <c r="CC70" s="269"/>
      <c r="CD70" s="267"/>
      <c r="CE70" s="174"/>
      <c r="CF70" s="37"/>
      <c r="CG70" s="33"/>
      <c r="CH70" s="260"/>
      <c r="CI70" s="267"/>
      <c r="CJ70" s="174"/>
      <c r="CK70" s="37"/>
      <c r="CL70" s="33"/>
      <c r="CM70" s="260"/>
      <c r="CN70" s="267"/>
      <c r="CO70" s="174"/>
      <c r="CP70" s="26"/>
      <c r="CQ70" s="173"/>
      <c r="CR70" s="269"/>
      <c r="CS70" s="264"/>
      <c r="CT70" s="174"/>
      <c r="CU70" s="437"/>
      <c r="CV70" s="438"/>
      <c r="CW70" s="438"/>
      <c r="CX70" s="439"/>
      <c r="CY70" s="26"/>
      <c r="CZ70" s="173"/>
      <c r="DA70" s="173"/>
      <c r="DB70" s="174"/>
      <c r="DC70" s="433"/>
      <c r="DD70" s="65"/>
      <c r="DE70" s="65"/>
      <c r="DF70" s="434"/>
    </row>
    <row r="71" spans="1:110" x14ac:dyDescent="0.25">
      <c r="A71" s="5" t="s">
        <v>72</v>
      </c>
      <c r="B71" s="6">
        <v>66</v>
      </c>
      <c r="C71" s="456">
        <v>1027076</v>
      </c>
      <c r="D71" s="83">
        <f>'Qrtrly Cash Balances'!C68</f>
        <v>2114261.2400000002</v>
      </c>
      <c r="E71" s="35">
        <f>RUTF!$D69</f>
        <v>312152.78000000003</v>
      </c>
      <c r="F71" s="401">
        <f>RUTF!$E69</f>
        <v>342390.39</v>
      </c>
      <c r="G71" s="406">
        <f>RUTF!$F69</f>
        <v>0</v>
      </c>
      <c r="H71" s="155">
        <f>RUTF!$G69</f>
        <v>0</v>
      </c>
      <c r="I71" s="156">
        <f>Federal!$F68+Federal!$J68+Federal!$N68+Federal!$R68</f>
        <v>0</v>
      </c>
      <c r="J71" s="155">
        <f>'Co Contrib'!C68+'Co Contrib'!D68+'Co Contrib'!E68+'Co Contrib'!F68+'Other Rev'!E68+'Other Rev'!H68+'Other Rev'!K68+'Other Rev'!N68</f>
        <v>0</v>
      </c>
      <c r="K71" s="149">
        <f>-1*(Expenditures!H68+Expenditures!N68+Expenditures!T68+Expenditures!Z68)</f>
        <v>-451228.85000000003</v>
      </c>
      <c r="L71" s="74">
        <f>'Qrtrly Obligations'!U67</f>
        <v>-379918.77</v>
      </c>
      <c r="M71" s="246">
        <f t="shared" ref="M71:M104" si="32">$AM71+$AR71+$AW71+$BB71+$BG71+$BL71+$BQ71+$BV71+$CA71+$CF71+$CK71+$CP71+$CU71+$CV71+$CW71+$CX71+$CY71+$CZ$6+$DA$6+$DB$6</f>
        <v>2558973.98</v>
      </c>
      <c r="N71" s="248">
        <f t="shared" ref="N71:N104" si="33">$AN71+$AS71+$AX71+$BC71+$BH71+$BM71+$BR71+$BW71+$CB71+$CG71+$CL71+$CQ71</f>
        <v>272821.92</v>
      </c>
      <c r="O71" s="54">
        <f t="shared" ref="O71:O104" si="34">$AO71+$AT71+$AY71+$BD71+$BI71+$BN71+$BS71+$BX71+$CC71+$CH71+$CM71+$CR71+$CU71+$CV71+$CW71+$CX71+$CY71+$CZ$6+$DA$6+$DB$6</f>
        <v>1194864.3799999999</v>
      </c>
      <c r="P71" s="255">
        <f t="shared" ref="P71:P104" si="35">$AP71+$AQ71+$AU71+$AV71+$AZ71+$BA71+$BE71+$BF71+$BJ71+$BK71+$BO71+$BP71+$BT71+$BU71+$BY71+$BZ71+$CD71+$CE71+$CI71+$CJ71+$CN71+$CO71+$CS71+$CT71</f>
        <v>0</v>
      </c>
      <c r="Q71" s="246">
        <f t="shared" ref="Q71:Q104" si="36">$AM71+$AR71+$AW71+$CU71+$CY71</f>
        <v>0</v>
      </c>
      <c r="R71" s="248">
        <f t="shared" ref="R71:R104" si="37">$AN71+$AS71+$AX71</f>
        <v>0</v>
      </c>
      <c r="S71" s="54">
        <f t="shared" ref="S71:S104" si="38">$AO71+$AT71+$AY71+$CU71+$CY71</f>
        <v>0</v>
      </c>
      <c r="T71" s="255">
        <f t="shared" ref="T71:T104" si="39">AP71+AQ71+AU71+AV71+AZ71+BA71</f>
        <v>0</v>
      </c>
      <c r="U71" s="246">
        <f t="shared" ref="U71:U104" si="40">$BB71+$BG71+$BL71+$CV71+$CZ71</f>
        <v>0</v>
      </c>
      <c r="V71" s="248">
        <f t="shared" ref="V71:V104" si="41">$BC71+$BH71+$BM71</f>
        <v>0</v>
      </c>
      <c r="W71" s="54">
        <f t="shared" ref="W71:W104" si="42">$BD71+$BI71+$BN71+$CV71+$CZ71</f>
        <v>0</v>
      </c>
      <c r="X71" s="255">
        <f t="shared" ref="X71:X104" si="43">BE71+BF71+BJ71+BK71+BO71+BP71</f>
        <v>0</v>
      </c>
      <c r="Y71" s="246">
        <f t="shared" ref="Y71:Y104" si="44">$BQ71+$BV71+$CA71+$CW71+$DA71</f>
        <v>2558973.98</v>
      </c>
      <c r="Z71" s="248">
        <f t="shared" ref="Z71:Z104" si="45">$BR71+$BW71+$CB71</f>
        <v>272821.92</v>
      </c>
      <c r="AA71" s="54">
        <f t="shared" ref="AA71:AA104" si="46">$BS71+$BX71+$CC71+$CW71+$DA71</f>
        <v>1194864.3799999999</v>
      </c>
      <c r="AB71" s="255">
        <f t="shared" ref="AB71:AB104" si="47">BT71+BU71+BY71+BZ71+CD71+CE71</f>
        <v>0</v>
      </c>
      <c r="AC71" s="246">
        <f t="shared" ref="AC71:AC104" si="48">$CF71+$CK71+$CP71+$CX71+$DB71</f>
        <v>0</v>
      </c>
      <c r="AD71" s="248">
        <f t="shared" ref="AD71:AD104" si="49">$CG71+$CL71+$CQ71</f>
        <v>0</v>
      </c>
      <c r="AE71" s="54">
        <f t="shared" ref="AE71:AE104" si="50">$CH71+$CM71+$CR71+$CX71+$DB71</f>
        <v>0</v>
      </c>
      <c r="AF71" s="255">
        <f t="shared" ref="AF71:AF104" si="51">CI71+CJ71+CN71+CO71+CS71+CT71</f>
        <v>0</v>
      </c>
      <c r="AG71" s="83">
        <f t="shared" ref="AG71:AG104" si="52">SUM(D71:J71)+K71</f>
        <v>2317575.5600000005</v>
      </c>
      <c r="AH71" s="146">
        <f t="shared" ref="AH71:AH104" si="53">SUM(D71:J71)+K71+L71</f>
        <v>1937656.7900000005</v>
      </c>
      <c r="AI71" s="181">
        <f t="shared" ref="AI71:AI104" si="54">SUM(D71:J71)+K71+L71-Z71-AA71-AB71</f>
        <v>469970.49000000069</v>
      </c>
      <c r="AJ71" s="182">
        <f t="shared" si="29"/>
        <v>0.45758102613633334</v>
      </c>
      <c r="AK71" s="186">
        <f t="shared" si="30"/>
        <v>3551198.4900000007</v>
      </c>
      <c r="AL71" s="7">
        <f t="shared" si="31"/>
        <v>5605350.4900000002</v>
      </c>
      <c r="AM71" s="23"/>
      <c r="AN71" s="24"/>
      <c r="AO71" s="104"/>
      <c r="AP71" s="265"/>
      <c r="AQ71" s="278"/>
      <c r="AR71" s="23"/>
      <c r="AS71" s="24"/>
      <c r="AT71" s="104"/>
      <c r="AU71" s="265"/>
      <c r="AV71" s="278"/>
      <c r="AW71" s="23"/>
      <c r="AX71" s="24"/>
      <c r="AY71" s="104"/>
      <c r="AZ71" s="265"/>
      <c r="BA71" s="278"/>
      <c r="BB71" s="23"/>
      <c r="BC71" s="24"/>
      <c r="BD71" s="25"/>
      <c r="BE71" s="265"/>
      <c r="BF71" s="278"/>
      <c r="BG71" s="34"/>
      <c r="BH71" s="35"/>
      <c r="BI71" s="25"/>
      <c r="BJ71" s="265"/>
      <c r="BK71" s="278"/>
      <c r="BL71" s="23"/>
      <c r="BM71" s="93"/>
      <c r="BN71" s="104"/>
      <c r="BO71" s="265"/>
      <c r="BP71" s="278"/>
      <c r="BQ71" s="34"/>
      <c r="BR71" s="35"/>
      <c r="BS71" s="99"/>
      <c r="BT71" s="263"/>
      <c r="BU71" s="278"/>
      <c r="BV71" s="23"/>
      <c r="BW71" s="93"/>
      <c r="BX71" s="271"/>
      <c r="BY71" s="263"/>
      <c r="BZ71" s="278"/>
      <c r="CA71" s="23">
        <f>1194864.38+1364109.6</f>
        <v>2558973.98</v>
      </c>
      <c r="CB71" s="35">
        <v>272821.92</v>
      </c>
      <c r="CC71" s="99">
        <v>1194864.3799999999</v>
      </c>
      <c r="CD71" s="265"/>
      <c r="CE71" s="278"/>
      <c r="CF71" s="34"/>
      <c r="CG71" s="35"/>
      <c r="CH71" s="99"/>
      <c r="CI71" s="265"/>
      <c r="CJ71" s="278"/>
      <c r="CK71" s="23"/>
      <c r="CL71" s="24"/>
      <c r="CM71" s="104"/>
      <c r="CN71" s="265"/>
      <c r="CO71" s="278"/>
      <c r="CP71" s="23"/>
      <c r="CQ71" s="171"/>
      <c r="CR71" s="104"/>
      <c r="CS71" s="263"/>
      <c r="CT71" s="278"/>
      <c r="CU71" s="430"/>
      <c r="CV71" s="431"/>
      <c r="CW71" s="431"/>
      <c r="CX71" s="432"/>
      <c r="CY71" s="23"/>
      <c r="CZ71" s="171"/>
      <c r="DA71" s="171"/>
      <c r="DB71" s="172"/>
      <c r="DC71" s="433"/>
      <c r="DD71" s="65"/>
      <c r="DE71" s="65"/>
      <c r="DF71" s="434"/>
    </row>
    <row r="72" spans="1:110" x14ac:dyDescent="0.25">
      <c r="A72" s="5" t="s">
        <v>73</v>
      </c>
      <c r="B72" s="6">
        <v>67</v>
      </c>
      <c r="C72" s="456">
        <v>1293563</v>
      </c>
      <c r="D72" s="83">
        <f>'Qrtrly Cash Balances'!C69</f>
        <v>-1145715.67</v>
      </c>
      <c r="E72" s="35">
        <f>RUTF!$D70</f>
        <v>393144.66</v>
      </c>
      <c r="F72" s="401">
        <f>RUTF!$E70</f>
        <v>431227.77</v>
      </c>
      <c r="G72" s="406">
        <f>RUTF!$F70</f>
        <v>0</v>
      </c>
      <c r="H72" s="155">
        <f>RUTF!$G70</f>
        <v>0</v>
      </c>
      <c r="I72" s="156">
        <f>Federal!$F69+Federal!$J69+Federal!$N69+Federal!$R69</f>
        <v>0</v>
      </c>
      <c r="J72" s="155">
        <f>'Co Contrib'!C69+'Co Contrib'!D69+'Co Contrib'!E69+'Co Contrib'!F69+'Other Rev'!E69+'Other Rev'!H69+'Other Rev'!K69+'Other Rev'!N69</f>
        <v>0</v>
      </c>
      <c r="K72" s="149">
        <f>-1*(Expenditures!H69+Expenditures!N69+Expenditures!T69+Expenditures!Z69)</f>
        <v>-639227.5</v>
      </c>
      <c r="L72" s="74">
        <f>'Qrtrly Obligations'!U68</f>
        <v>-192436.73</v>
      </c>
      <c r="M72" s="246">
        <f t="shared" si="32"/>
        <v>0</v>
      </c>
      <c r="N72" s="248">
        <f t="shared" si="33"/>
        <v>0</v>
      </c>
      <c r="O72" s="54">
        <f t="shared" si="34"/>
        <v>0</v>
      </c>
      <c r="P72" s="255">
        <f t="shared" si="35"/>
        <v>0</v>
      </c>
      <c r="Q72" s="246">
        <f t="shared" si="36"/>
        <v>0</v>
      </c>
      <c r="R72" s="248">
        <f t="shared" si="37"/>
        <v>0</v>
      </c>
      <c r="S72" s="54">
        <f t="shared" si="38"/>
        <v>0</v>
      </c>
      <c r="T72" s="255">
        <f t="shared" si="39"/>
        <v>0</v>
      </c>
      <c r="U72" s="246">
        <f t="shared" si="40"/>
        <v>0</v>
      </c>
      <c r="V72" s="248">
        <f t="shared" si="41"/>
        <v>0</v>
      </c>
      <c r="W72" s="54">
        <f t="shared" si="42"/>
        <v>0</v>
      </c>
      <c r="X72" s="255">
        <f t="shared" si="43"/>
        <v>0</v>
      </c>
      <c r="Y72" s="246">
        <f t="shared" si="44"/>
        <v>0</v>
      </c>
      <c r="Z72" s="248">
        <f t="shared" si="45"/>
        <v>0</v>
      </c>
      <c r="AA72" s="54">
        <f t="shared" si="46"/>
        <v>0</v>
      </c>
      <c r="AB72" s="255">
        <f t="shared" si="47"/>
        <v>0</v>
      </c>
      <c r="AC72" s="246">
        <f t="shared" si="48"/>
        <v>0</v>
      </c>
      <c r="AD72" s="248">
        <f t="shared" si="49"/>
        <v>0</v>
      </c>
      <c r="AE72" s="54">
        <f t="shared" si="50"/>
        <v>0</v>
      </c>
      <c r="AF72" s="255">
        <f t="shared" si="51"/>
        <v>0</v>
      </c>
      <c r="AG72" s="83">
        <f t="shared" si="52"/>
        <v>-960570.74</v>
      </c>
      <c r="AH72" s="146">
        <f t="shared" si="53"/>
        <v>-1153007.47</v>
      </c>
      <c r="AI72" s="181">
        <f t="shared" si="54"/>
        <v>-1153007.47</v>
      </c>
      <c r="AJ72" s="182">
        <f t="shared" si="29"/>
        <v>-0.89134233895063475</v>
      </c>
      <c r="AK72" s="183">
        <f t="shared" si="30"/>
        <v>2727681.5300000003</v>
      </c>
      <c r="AL72" s="7">
        <f t="shared" si="31"/>
        <v>5314807.53</v>
      </c>
      <c r="AM72" s="23"/>
      <c r="AN72" s="24"/>
      <c r="AO72" s="104"/>
      <c r="AP72" s="265"/>
      <c r="AQ72" s="278"/>
      <c r="AR72" s="23"/>
      <c r="AS72" s="24"/>
      <c r="AT72" s="104"/>
      <c r="AU72" s="265"/>
      <c r="AV72" s="278"/>
      <c r="AW72" s="23"/>
      <c r="AX72" s="24"/>
      <c r="AY72" s="104"/>
      <c r="AZ72" s="265"/>
      <c r="BA72" s="278"/>
      <c r="BB72" s="23"/>
      <c r="BC72" s="24"/>
      <c r="BD72" s="25"/>
      <c r="BE72" s="265"/>
      <c r="BF72" s="278"/>
      <c r="BG72" s="34"/>
      <c r="BH72" s="24"/>
      <c r="BI72" s="36"/>
      <c r="BJ72" s="265"/>
      <c r="BK72" s="278"/>
      <c r="BL72" s="34"/>
      <c r="BM72" s="94"/>
      <c r="BN72" s="104"/>
      <c r="BO72" s="265"/>
      <c r="BP72" s="278"/>
      <c r="BQ72" s="34"/>
      <c r="BR72" s="35"/>
      <c r="BS72" s="99"/>
      <c r="BT72" s="263"/>
      <c r="BU72" s="278"/>
      <c r="BV72" s="23"/>
      <c r="BW72" s="24"/>
      <c r="BX72" s="104"/>
      <c r="BY72" s="263"/>
      <c r="BZ72" s="278"/>
      <c r="CA72" s="23"/>
      <c r="CB72" s="24"/>
      <c r="CC72" s="104"/>
      <c r="CD72" s="265"/>
      <c r="CE72" s="278"/>
      <c r="CF72" s="23"/>
      <c r="CG72" s="24"/>
      <c r="CH72" s="104"/>
      <c r="CI72" s="265"/>
      <c r="CJ72" s="278"/>
      <c r="CK72" s="23"/>
      <c r="CL72" s="24"/>
      <c r="CM72" s="104"/>
      <c r="CN72" s="265"/>
      <c r="CO72" s="278"/>
      <c r="CP72" s="23"/>
      <c r="CQ72" s="171"/>
      <c r="CR72" s="104"/>
      <c r="CS72" s="263"/>
      <c r="CT72" s="278"/>
      <c r="CU72" s="430"/>
      <c r="CV72" s="431"/>
      <c r="CW72" s="431"/>
      <c r="CX72" s="432"/>
      <c r="CY72" s="23"/>
      <c r="CZ72" s="171"/>
      <c r="DA72" s="171"/>
      <c r="DB72" s="172"/>
      <c r="DC72" s="433"/>
      <c r="DD72" s="65"/>
      <c r="DE72" s="65"/>
      <c r="DF72" s="434"/>
    </row>
    <row r="73" spans="1:110" x14ac:dyDescent="0.25">
      <c r="A73" s="5" t="s">
        <v>74</v>
      </c>
      <c r="B73" s="6">
        <v>68</v>
      </c>
      <c r="C73" s="456">
        <v>845746</v>
      </c>
      <c r="D73" s="83">
        <f>'Qrtrly Cash Balances'!C70</f>
        <v>1107317.48</v>
      </c>
      <c r="E73" s="35">
        <f>RUTF!$D71</f>
        <v>257042.2</v>
      </c>
      <c r="F73" s="401">
        <f>RUTF!$E71</f>
        <v>281941.34999999998</v>
      </c>
      <c r="G73" s="406">
        <f>RUTF!$F71</f>
        <v>0</v>
      </c>
      <c r="H73" s="155">
        <f>RUTF!$G71</f>
        <v>0</v>
      </c>
      <c r="I73" s="156">
        <f>Federal!$F70+Federal!$J70+Federal!$N70+Federal!$R70</f>
        <v>111536.11</v>
      </c>
      <c r="J73" s="155">
        <f>'Co Contrib'!C70+'Co Contrib'!D70+'Co Contrib'!E70+'Co Contrib'!F70+'Other Rev'!E70+'Other Rev'!H70+'Other Rev'!K70+'Other Rev'!N70</f>
        <v>0</v>
      </c>
      <c r="K73" s="149">
        <f>-1*(Expenditures!H70+Expenditures!N70+Expenditures!T70+Expenditures!Z70)</f>
        <v>-30083.01</v>
      </c>
      <c r="L73" s="74">
        <f>'Qrtrly Obligations'!U69</f>
        <v>-3074.54</v>
      </c>
      <c r="M73" s="246">
        <f t="shared" si="32"/>
        <v>0</v>
      </c>
      <c r="N73" s="248">
        <f t="shared" si="33"/>
        <v>0</v>
      </c>
      <c r="O73" s="54">
        <f t="shared" si="34"/>
        <v>0</v>
      </c>
      <c r="P73" s="255">
        <f t="shared" si="35"/>
        <v>0</v>
      </c>
      <c r="Q73" s="246">
        <f t="shared" si="36"/>
        <v>0</v>
      </c>
      <c r="R73" s="248">
        <f t="shared" si="37"/>
        <v>0</v>
      </c>
      <c r="S73" s="54">
        <f t="shared" si="38"/>
        <v>0</v>
      </c>
      <c r="T73" s="255">
        <f t="shared" si="39"/>
        <v>0</v>
      </c>
      <c r="U73" s="246">
        <f t="shared" si="40"/>
        <v>0</v>
      </c>
      <c r="V73" s="248">
        <f t="shared" si="41"/>
        <v>0</v>
      </c>
      <c r="W73" s="54">
        <f t="shared" si="42"/>
        <v>0</v>
      </c>
      <c r="X73" s="255">
        <f t="shared" si="43"/>
        <v>0</v>
      </c>
      <c r="Y73" s="246">
        <f t="shared" si="44"/>
        <v>0</v>
      </c>
      <c r="Z73" s="248">
        <f t="shared" si="45"/>
        <v>0</v>
      </c>
      <c r="AA73" s="54">
        <f t="shared" si="46"/>
        <v>0</v>
      </c>
      <c r="AB73" s="255">
        <f t="shared" si="47"/>
        <v>0</v>
      </c>
      <c r="AC73" s="246">
        <f t="shared" si="48"/>
        <v>0</v>
      </c>
      <c r="AD73" s="248">
        <f t="shared" si="49"/>
        <v>0</v>
      </c>
      <c r="AE73" s="54">
        <f t="shared" si="50"/>
        <v>0</v>
      </c>
      <c r="AF73" s="255">
        <f t="shared" si="51"/>
        <v>0</v>
      </c>
      <c r="AG73" s="83">
        <f t="shared" si="52"/>
        <v>1727754.13</v>
      </c>
      <c r="AH73" s="146">
        <f t="shared" si="53"/>
        <v>1724679.5899999999</v>
      </c>
      <c r="AI73" s="181">
        <f t="shared" si="54"/>
        <v>1724679.5899999999</v>
      </c>
      <c r="AJ73" s="182">
        <f t="shared" si="29"/>
        <v>2.0392406112473482</v>
      </c>
      <c r="AK73" s="183">
        <f t="shared" si="30"/>
        <v>4261917.59</v>
      </c>
      <c r="AL73" s="7">
        <f t="shared" si="31"/>
        <v>5953409.5899999999</v>
      </c>
      <c r="AM73" s="23"/>
      <c r="AN73" s="24"/>
      <c r="AO73" s="104"/>
      <c r="AP73" s="265"/>
      <c r="AQ73" s="278"/>
      <c r="AR73" s="23"/>
      <c r="AS73" s="24"/>
      <c r="AT73" s="104"/>
      <c r="AU73" s="265"/>
      <c r="AV73" s="278"/>
      <c r="AW73" s="23"/>
      <c r="AX73" s="24"/>
      <c r="AY73" s="104"/>
      <c r="AZ73" s="265"/>
      <c r="BA73" s="278"/>
      <c r="BB73" s="23"/>
      <c r="BC73" s="24"/>
      <c r="BD73" s="25"/>
      <c r="BE73" s="265"/>
      <c r="BF73" s="278"/>
      <c r="BG73" s="23"/>
      <c r="BH73" s="24"/>
      <c r="BI73" s="25"/>
      <c r="BJ73" s="265"/>
      <c r="BK73" s="278"/>
      <c r="BL73" s="34"/>
      <c r="BM73" s="94"/>
      <c r="BN73" s="104"/>
      <c r="BO73" s="265"/>
      <c r="BP73" s="278"/>
      <c r="BQ73" s="34"/>
      <c r="BR73" s="35"/>
      <c r="BS73" s="99"/>
      <c r="BT73" s="263"/>
      <c r="BU73" s="278"/>
      <c r="BV73" s="23"/>
      <c r="BW73" s="24"/>
      <c r="BX73" s="104"/>
      <c r="BY73" s="263"/>
      <c r="BZ73" s="278"/>
      <c r="CA73" s="23"/>
      <c r="CB73" s="24"/>
      <c r="CC73" s="104"/>
      <c r="CD73" s="265"/>
      <c r="CE73" s="278"/>
      <c r="CF73" s="34"/>
      <c r="CG73" s="35"/>
      <c r="CH73" s="104"/>
      <c r="CI73" s="265"/>
      <c r="CJ73" s="278"/>
      <c r="CK73" s="34"/>
      <c r="CL73" s="35"/>
      <c r="CM73" s="104"/>
      <c r="CN73" s="265"/>
      <c r="CO73" s="278"/>
      <c r="CP73" s="23"/>
      <c r="CQ73" s="171"/>
      <c r="CR73" s="104"/>
      <c r="CS73" s="263"/>
      <c r="CT73" s="278"/>
      <c r="CU73" s="430"/>
      <c r="CV73" s="431"/>
      <c r="CW73" s="431"/>
      <c r="CX73" s="432"/>
      <c r="CY73" s="23"/>
      <c r="CZ73" s="171"/>
      <c r="DA73" s="171"/>
      <c r="DB73" s="172"/>
      <c r="DC73" s="433"/>
      <c r="DD73" s="65"/>
      <c r="DE73" s="65"/>
      <c r="DF73" s="434"/>
    </row>
    <row r="74" spans="1:110" x14ac:dyDescent="0.25">
      <c r="A74" s="5" t="s">
        <v>75</v>
      </c>
      <c r="B74" s="6">
        <v>69</v>
      </c>
      <c r="C74" s="456">
        <v>879826</v>
      </c>
      <c r="D74" s="83">
        <f>'Qrtrly Cash Balances'!C71</f>
        <v>1374308.25</v>
      </c>
      <c r="E74" s="35">
        <f>RUTF!$D72</f>
        <v>267400.2</v>
      </c>
      <c r="F74" s="401">
        <f>RUTF!$E72</f>
        <v>293302.71000000002</v>
      </c>
      <c r="G74" s="406">
        <f>RUTF!$F72</f>
        <v>0</v>
      </c>
      <c r="H74" s="155">
        <f>RUTF!$G72</f>
        <v>0</v>
      </c>
      <c r="I74" s="156">
        <f>Federal!$F71+Federal!$J71+Federal!$N71+Federal!$R71</f>
        <v>535308.86</v>
      </c>
      <c r="J74" s="155">
        <f>'Co Contrib'!C71+'Co Contrib'!D71+'Co Contrib'!E71+'Co Contrib'!F71+'Other Rev'!E71+'Other Rev'!H71+'Other Rev'!K71+'Other Rev'!N71</f>
        <v>0</v>
      </c>
      <c r="K74" s="149">
        <f>-1*(Expenditures!H71+Expenditures!N71+Expenditures!T71+Expenditures!Z71)</f>
        <v>-2893434.52</v>
      </c>
      <c r="L74" s="74">
        <f>'Qrtrly Obligations'!U70</f>
        <v>-211829.79</v>
      </c>
      <c r="M74" s="246">
        <f t="shared" si="32"/>
        <v>0</v>
      </c>
      <c r="N74" s="248">
        <f t="shared" si="33"/>
        <v>0</v>
      </c>
      <c r="O74" s="54">
        <f t="shared" si="34"/>
        <v>0</v>
      </c>
      <c r="P74" s="255">
        <f t="shared" si="35"/>
        <v>0</v>
      </c>
      <c r="Q74" s="246">
        <f t="shared" si="36"/>
        <v>0</v>
      </c>
      <c r="R74" s="248">
        <f t="shared" si="37"/>
        <v>0</v>
      </c>
      <c r="S74" s="54">
        <f t="shared" si="38"/>
        <v>0</v>
      </c>
      <c r="T74" s="255">
        <f t="shared" si="39"/>
        <v>0</v>
      </c>
      <c r="U74" s="246">
        <f t="shared" si="40"/>
        <v>0</v>
      </c>
      <c r="V74" s="248">
        <f t="shared" si="41"/>
        <v>0</v>
      </c>
      <c r="W74" s="54">
        <f t="shared" si="42"/>
        <v>0</v>
      </c>
      <c r="X74" s="255">
        <f t="shared" si="43"/>
        <v>0</v>
      </c>
      <c r="Y74" s="246">
        <f t="shared" si="44"/>
        <v>0</v>
      </c>
      <c r="Z74" s="248">
        <f t="shared" si="45"/>
        <v>0</v>
      </c>
      <c r="AA74" s="54">
        <f t="shared" si="46"/>
        <v>0</v>
      </c>
      <c r="AB74" s="255">
        <f t="shared" si="47"/>
        <v>0</v>
      </c>
      <c r="AC74" s="246">
        <f t="shared" si="48"/>
        <v>0</v>
      </c>
      <c r="AD74" s="248">
        <f t="shared" si="49"/>
        <v>0</v>
      </c>
      <c r="AE74" s="54">
        <f t="shared" si="50"/>
        <v>0</v>
      </c>
      <c r="AF74" s="255">
        <f t="shared" si="51"/>
        <v>0</v>
      </c>
      <c r="AG74" s="83">
        <f t="shared" si="52"/>
        <v>-423114.5</v>
      </c>
      <c r="AH74" s="146">
        <f t="shared" si="53"/>
        <v>-634944.29</v>
      </c>
      <c r="AI74" s="181">
        <f t="shared" si="54"/>
        <v>-634944.29</v>
      </c>
      <c r="AJ74" s="182">
        <f t="shared" si="29"/>
        <v>-0.72167029617219769</v>
      </c>
      <c r="AK74" s="183">
        <f t="shared" si="30"/>
        <v>2004533.71</v>
      </c>
      <c r="AL74" s="7">
        <f t="shared" si="31"/>
        <v>3764185.71</v>
      </c>
      <c r="AM74" s="23"/>
      <c r="AN74" s="24"/>
      <c r="AO74" s="104"/>
      <c r="AP74" s="265"/>
      <c r="AQ74" s="278"/>
      <c r="AR74" s="23"/>
      <c r="AS74" s="24"/>
      <c r="AT74" s="104"/>
      <c r="AU74" s="265"/>
      <c r="AV74" s="278"/>
      <c r="AW74" s="23"/>
      <c r="AX74" s="24"/>
      <c r="AY74" s="104"/>
      <c r="AZ74" s="265"/>
      <c r="BA74" s="278"/>
      <c r="BB74" s="23"/>
      <c r="BC74" s="24"/>
      <c r="BD74" s="25"/>
      <c r="BE74" s="265"/>
      <c r="BF74" s="278"/>
      <c r="BG74" s="34"/>
      <c r="BH74" s="24"/>
      <c r="BI74" s="36"/>
      <c r="BJ74" s="265"/>
      <c r="BK74" s="278"/>
      <c r="BL74" s="34"/>
      <c r="BM74" s="94"/>
      <c r="BN74" s="104"/>
      <c r="BO74" s="265"/>
      <c r="BP74" s="278"/>
      <c r="BQ74" s="34"/>
      <c r="BR74" s="35"/>
      <c r="BS74" s="99"/>
      <c r="BT74" s="263"/>
      <c r="BU74" s="278"/>
      <c r="BV74" s="23"/>
      <c r="BW74" s="24"/>
      <c r="BX74" s="104"/>
      <c r="BY74" s="263"/>
      <c r="BZ74" s="278"/>
      <c r="CA74" s="34"/>
      <c r="CB74" s="24"/>
      <c r="CC74" s="99"/>
      <c r="CD74" s="265"/>
      <c r="CE74" s="278"/>
      <c r="CF74" s="23"/>
      <c r="CG74" s="24"/>
      <c r="CH74" s="104"/>
      <c r="CI74" s="265"/>
      <c r="CJ74" s="278"/>
      <c r="CK74" s="23"/>
      <c r="CL74" s="24"/>
      <c r="CM74" s="104"/>
      <c r="CN74" s="265"/>
      <c r="CO74" s="278"/>
      <c r="CP74" s="23"/>
      <c r="CQ74" s="171"/>
      <c r="CR74" s="104"/>
      <c r="CS74" s="263"/>
      <c r="CT74" s="278"/>
      <c r="CU74" s="430"/>
      <c r="CV74" s="431"/>
      <c r="CW74" s="431"/>
      <c r="CX74" s="432"/>
      <c r="CY74" s="23"/>
      <c r="CZ74" s="171"/>
      <c r="DA74" s="171"/>
      <c r="DB74" s="172"/>
      <c r="DC74" s="433"/>
      <c r="DD74" s="65"/>
      <c r="DE74" s="65"/>
      <c r="DF74" s="434"/>
    </row>
    <row r="75" spans="1:110" x14ac:dyDescent="0.25">
      <c r="A75" s="9" t="s">
        <v>76</v>
      </c>
      <c r="B75" s="17">
        <v>70</v>
      </c>
      <c r="C75" s="457">
        <v>1196966</v>
      </c>
      <c r="D75" s="84">
        <f>'Qrtrly Cash Balances'!C72</f>
        <v>3043181.32</v>
      </c>
      <c r="E75" s="33">
        <f>RUTF!$D73</f>
        <v>363786.33</v>
      </c>
      <c r="F75" s="402">
        <f>RUTF!$E73</f>
        <v>399025.57</v>
      </c>
      <c r="G75" s="160">
        <f>RUTF!$F73</f>
        <v>0</v>
      </c>
      <c r="H75" s="159">
        <f>RUTF!$G73</f>
        <v>0</v>
      </c>
      <c r="I75" s="160">
        <f>Federal!$F72+Federal!$J72+Federal!$N72+Federal!$R72</f>
        <v>0</v>
      </c>
      <c r="J75" s="159">
        <f>'Co Contrib'!C72+'Co Contrib'!D72+'Co Contrib'!E72+'Co Contrib'!F72+'Other Rev'!E72+'Other Rev'!H72+'Other Rev'!K72+'Other Rev'!N72</f>
        <v>0</v>
      </c>
      <c r="K75" s="151">
        <f>-1*(Expenditures!H72+Expenditures!N72+Expenditures!T72+Expenditures!Z72)</f>
        <v>-4247912.33</v>
      </c>
      <c r="L75" s="56">
        <f>'Qrtrly Obligations'!U71</f>
        <v>-288167.59999999998</v>
      </c>
      <c r="M75" s="249">
        <f t="shared" si="32"/>
        <v>0</v>
      </c>
      <c r="N75" s="250">
        <f t="shared" si="33"/>
        <v>0</v>
      </c>
      <c r="O75" s="253">
        <f t="shared" si="34"/>
        <v>0</v>
      </c>
      <c r="P75" s="256">
        <f t="shared" si="35"/>
        <v>0</v>
      </c>
      <c r="Q75" s="249">
        <f t="shared" si="36"/>
        <v>0</v>
      </c>
      <c r="R75" s="250">
        <f t="shared" si="37"/>
        <v>0</v>
      </c>
      <c r="S75" s="253">
        <f t="shared" si="38"/>
        <v>0</v>
      </c>
      <c r="T75" s="256">
        <f t="shared" si="39"/>
        <v>0</v>
      </c>
      <c r="U75" s="249">
        <f t="shared" si="40"/>
        <v>0</v>
      </c>
      <c r="V75" s="250">
        <f t="shared" si="41"/>
        <v>0</v>
      </c>
      <c r="W75" s="253">
        <f t="shared" si="42"/>
        <v>0</v>
      </c>
      <c r="X75" s="256">
        <f t="shared" si="43"/>
        <v>0</v>
      </c>
      <c r="Y75" s="249">
        <f t="shared" si="44"/>
        <v>0</v>
      </c>
      <c r="Z75" s="250">
        <f t="shared" si="45"/>
        <v>0</v>
      </c>
      <c r="AA75" s="253">
        <f t="shared" si="46"/>
        <v>0</v>
      </c>
      <c r="AB75" s="256">
        <f t="shared" si="47"/>
        <v>0</v>
      </c>
      <c r="AC75" s="249">
        <f t="shared" si="48"/>
        <v>0</v>
      </c>
      <c r="AD75" s="250">
        <f t="shared" si="49"/>
        <v>0</v>
      </c>
      <c r="AE75" s="253">
        <f t="shared" si="50"/>
        <v>0</v>
      </c>
      <c r="AF75" s="256">
        <f t="shared" si="51"/>
        <v>0</v>
      </c>
      <c r="AG75" s="84">
        <f t="shared" si="52"/>
        <v>-441919.11000000034</v>
      </c>
      <c r="AH75" s="147">
        <f t="shared" si="53"/>
        <v>-730086.71000000031</v>
      </c>
      <c r="AI75" s="184">
        <f t="shared" si="54"/>
        <v>-730086.71000000031</v>
      </c>
      <c r="AJ75" s="185">
        <f t="shared" si="29"/>
        <v>-0.60994774287657316</v>
      </c>
      <c r="AK75" s="183">
        <f t="shared" si="30"/>
        <v>2860811.2899999996</v>
      </c>
      <c r="AL75" s="18">
        <f t="shared" si="31"/>
        <v>5254743.29</v>
      </c>
      <c r="AM75" s="26"/>
      <c r="AN75" s="27"/>
      <c r="AO75" s="269"/>
      <c r="AP75" s="267"/>
      <c r="AQ75" s="174"/>
      <c r="AR75" s="26"/>
      <c r="AS75" s="27"/>
      <c r="AT75" s="269"/>
      <c r="AU75" s="267"/>
      <c r="AV75" s="174"/>
      <c r="AW75" s="26"/>
      <c r="AX75" s="27"/>
      <c r="AY75" s="269"/>
      <c r="AZ75" s="267"/>
      <c r="BA75" s="174"/>
      <c r="BB75" s="26"/>
      <c r="BC75" s="27"/>
      <c r="BD75" s="28"/>
      <c r="BE75" s="267"/>
      <c r="BF75" s="174"/>
      <c r="BG75" s="37"/>
      <c r="BH75" s="33"/>
      <c r="BI75" s="50"/>
      <c r="BJ75" s="267"/>
      <c r="BK75" s="174"/>
      <c r="BL75" s="26"/>
      <c r="BM75" s="173"/>
      <c r="BN75" s="269"/>
      <c r="BO75" s="267"/>
      <c r="BP75" s="174"/>
      <c r="BQ75" s="37"/>
      <c r="BR75" s="33"/>
      <c r="BS75" s="260"/>
      <c r="BT75" s="264"/>
      <c r="BU75" s="174"/>
      <c r="BV75" s="26"/>
      <c r="BW75" s="27"/>
      <c r="BX75" s="269"/>
      <c r="BY75" s="264"/>
      <c r="BZ75" s="174"/>
      <c r="CA75" s="26"/>
      <c r="CB75" s="27"/>
      <c r="CC75" s="269"/>
      <c r="CD75" s="267"/>
      <c r="CE75" s="174"/>
      <c r="CF75" s="37"/>
      <c r="CG75" s="33"/>
      <c r="CH75" s="269"/>
      <c r="CI75" s="267"/>
      <c r="CJ75" s="174"/>
      <c r="CK75" s="37"/>
      <c r="CL75" s="33"/>
      <c r="CM75" s="269"/>
      <c r="CN75" s="267"/>
      <c r="CO75" s="174"/>
      <c r="CP75" s="37"/>
      <c r="CQ75" s="365"/>
      <c r="CR75" s="269"/>
      <c r="CS75" s="264"/>
      <c r="CT75" s="174"/>
      <c r="CU75" s="437"/>
      <c r="CV75" s="438"/>
      <c r="CW75" s="438"/>
      <c r="CX75" s="439"/>
      <c r="CY75" s="26"/>
      <c r="CZ75" s="173"/>
      <c r="DA75" s="173"/>
      <c r="DB75" s="174"/>
      <c r="DC75" s="433"/>
      <c r="DD75" s="65"/>
      <c r="DE75" s="65"/>
      <c r="DF75" s="434"/>
    </row>
    <row r="76" spans="1:110" x14ac:dyDescent="0.25">
      <c r="A76" s="5" t="s">
        <v>77</v>
      </c>
      <c r="B76" s="6">
        <v>71</v>
      </c>
      <c r="C76" s="456">
        <v>1209492</v>
      </c>
      <c r="D76" s="86">
        <f>'Qrtrly Cash Balances'!C73</f>
        <v>1573851.66</v>
      </c>
      <c r="E76" s="35">
        <f>RUTF!$D74</f>
        <v>367593.53</v>
      </c>
      <c r="F76" s="401">
        <f>RUTF!$E74</f>
        <v>403201.56</v>
      </c>
      <c r="G76" s="406">
        <f>RUTF!$F74</f>
        <v>0</v>
      </c>
      <c r="H76" s="155">
        <f>RUTF!$G74</f>
        <v>0</v>
      </c>
      <c r="I76" s="156">
        <f>Federal!$F73+Federal!$J73+Federal!$N73+Federal!$R73</f>
        <v>937193.65</v>
      </c>
      <c r="J76" s="155">
        <f>'Co Contrib'!C73+'Co Contrib'!D73+'Co Contrib'!E73+'Co Contrib'!F73+'Other Rev'!E73+'Other Rev'!H73+'Other Rev'!K73+'Other Rev'!N73</f>
        <v>0</v>
      </c>
      <c r="K76" s="149">
        <f>-1*(Expenditures!H73+Expenditures!N73+Expenditures!T73+Expenditures!Z73)</f>
        <v>-3758725.72</v>
      </c>
      <c r="L76" s="74">
        <f>'Qrtrly Obligations'!U72</f>
        <v>-1557548.72</v>
      </c>
      <c r="M76" s="246">
        <f t="shared" si="32"/>
        <v>0</v>
      </c>
      <c r="N76" s="248">
        <f t="shared" si="33"/>
        <v>0</v>
      </c>
      <c r="O76" s="54">
        <f t="shared" si="34"/>
        <v>0</v>
      </c>
      <c r="P76" s="255">
        <f t="shared" si="35"/>
        <v>0</v>
      </c>
      <c r="Q76" s="246">
        <f t="shared" si="36"/>
        <v>0</v>
      </c>
      <c r="R76" s="248">
        <f t="shared" si="37"/>
        <v>0</v>
      </c>
      <c r="S76" s="54">
        <f t="shared" si="38"/>
        <v>0</v>
      </c>
      <c r="T76" s="255">
        <f t="shared" si="39"/>
        <v>0</v>
      </c>
      <c r="U76" s="246">
        <f t="shared" si="40"/>
        <v>0</v>
      </c>
      <c r="V76" s="248">
        <f t="shared" si="41"/>
        <v>0</v>
      </c>
      <c r="W76" s="54">
        <f t="shared" si="42"/>
        <v>0</v>
      </c>
      <c r="X76" s="255">
        <f t="shared" si="43"/>
        <v>0</v>
      </c>
      <c r="Y76" s="246">
        <f t="shared" si="44"/>
        <v>0</v>
      </c>
      <c r="Z76" s="248">
        <f t="shared" si="45"/>
        <v>0</v>
      </c>
      <c r="AA76" s="54">
        <f t="shared" si="46"/>
        <v>0</v>
      </c>
      <c r="AB76" s="255">
        <f t="shared" si="47"/>
        <v>0</v>
      </c>
      <c r="AC76" s="246">
        <f t="shared" si="48"/>
        <v>0</v>
      </c>
      <c r="AD76" s="248">
        <f t="shared" si="49"/>
        <v>0</v>
      </c>
      <c r="AE76" s="54">
        <f t="shared" si="50"/>
        <v>0</v>
      </c>
      <c r="AF76" s="255">
        <f t="shared" si="51"/>
        <v>0</v>
      </c>
      <c r="AG76" s="83">
        <f t="shared" si="52"/>
        <v>-476885.3200000003</v>
      </c>
      <c r="AH76" s="146">
        <f t="shared" si="53"/>
        <v>-2034434.0400000003</v>
      </c>
      <c r="AI76" s="181">
        <f t="shared" si="54"/>
        <v>-2034434.0400000003</v>
      </c>
      <c r="AJ76" s="182">
        <f t="shared" si="29"/>
        <v>-1.6820566320405594</v>
      </c>
      <c r="AK76" s="186">
        <f t="shared" si="30"/>
        <v>1594041.9599999997</v>
      </c>
      <c r="AL76" s="8">
        <f t="shared" si="31"/>
        <v>4013025.96</v>
      </c>
      <c r="AM76" s="23"/>
      <c r="AN76" s="24"/>
      <c r="AO76" s="104"/>
      <c r="AP76" s="265"/>
      <c r="AQ76" s="278"/>
      <c r="AR76" s="23"/>
      <c r="AS76" s="24"/>
      <c r="AT76" s="104"/>
      <c r="AU76" s="265"/>
      <c r="AV76" s="278"/>
      <c r="AW76" s="23"/>
      <c r="AX76" s="24"/>
      <c r="AY76" s="104"/>
      <c r="AZ76" s="265"/>
      <c r="BA76" s="278"/>
      <c r="BB76" s="23"/>
      <c r="BC76" s="24"/>
      <c r="BD76" s="25"/>
      <c r="BE76" s="265"/>
      <c r="BF76" s="278"/>
      <c r="BG76" s="23"/>
      <c r="BH76" s="24"/>
      <c r="BI76" s="25"/>
      <c r="BJ76" s="265"/>
      <c r="BK76" s="278"/>
      <c r="BL76" s="23"/>
      <c r="BM76" s="93"/>
      <c r="BN76" s="104"/>
      <c r="BO76" s="265"/>
      <c r="BP76" s="278"/>
      <c r="BQ76" s="34"/>
      <c r="BR76" s="35"/>
      <c r="BS76" s="99"/>
      <c r="BT76" s="263"/>
      <c r="BU76" s="278"/>
      <c r="BV76" s="23"/>
      <c r="BW76" s="93"/>
      <c r="BX76" s="271"/>
      <c r="BY76" s="263"/>
      <c r="BZ76" s="278"/>
      <c r="CA76" s="34"/>
      <c r="CB76" s="24"/>
      <c r="CC76" s="99"/>
      <c r="CD76" s="265"/>
      <c r="CE76" s="278"/>
      <c r="CF76" s="23"/>
      <c r="CG76" s="24"/>
      <c r="CH76" s="104"/>
      <c r="CI76" s="265"/>
      <c r="CJ76" s="278"/>
      <c r="CK76" s="23"/>
      <c r="CL76" s="24"/>
      <c r="CM76" s="104"/>
      <c r="CN76" s="265"/>
      <c r="CO76" s="278"/>
      <c r="CP76" s="23"/>
      <c r="CQ76" s="171"/>
      <c r="CR76" s="104"/>
      <c r="CS76" s="263"/>
      <c r="CT76" s="278"/>
      <c r="CU76" s="430"/>
      <c r="CV76" s="431"/>
      <c r="CW76" s="431"/>
      <c r="CX76" s="432"/>
      <c r="CY76" s="23"/>
      <c r="CZ76" s="171"/>
      <c r="DA76" s="171"/>
      <c r="DB76" s="172"/>
      <c r="DC76" s="433"/>
      <c r="DD76" s="65"/>
      <c r="DE76" s="65"/>
      <c r="DF76" s="434"/>
    </row>
    <row r="77" spans="1:110" x14ac:dyDescent="0.25">
      <c r="A77" s="5" t="s">
        <v>78</v>
      </c>
      <c r="B77" s="6">
        <v>72</v>
      </c>
      <c r="C77" s="456">
        <v>878450</v>
      </c>
      <c r="D77" s="83">
        <f>'Qrtrly Cash Balances'!C74</f>
        <v>2741800.65</v>
      </c>
      <c r="E77" s="35">
        <f>RUTF!$D75</f>
        <v>266981.78999999998</v>
      </c>
      <c r="F77" s="401">
        <f>RUTF!$E75</f>
        <v>292843.76</v>
      </c>
      <c r="G77" s="406">
        <f>RUTF!$F75</f>
        <v>0</v>
      </c>
      <c r="H77" s="155">
        <f>RUTF!$G75</f>
        <v>0</v>
      </c>
      <c r="I77" s="156">
        <f>Federal!$F74+Federal!$J74+Federal!$N74+Federal!$R74</f>
        <v>2728670.05</v>
      </c>
      <c r="J77" s="155">
        <f>'Co Contrib'!C74+'Co Contrib'!D74+'Co Contrib'!E74+'Co Contrib'!F74+'Other Rev'!E74+'Other Rev'!H74+'Other Rev'!K74+'Other Rev'!N74</f>
        <v>0</v>
      </c>
      <c r="K77" s="149">
        <f>-1*(Expenditures!H74+Expenditures!N74+Expenditures!T74+Expenditures!Z74)</f>
        <v>-5772240.0399999991</v>
      </c>
      <c r="L77" s="74">
        <f>'Qrtrly Obligations'!U73</f>
        <v>-530024.21</v>
      </c>
      <c r="M77" s="246">
        <f t="shared" si="32"/>
        <v>1382130.59</v>
      </c>
      <c r="N77" s="248">
        <f t="shared" si="33"/>
        <v>0</v>
      </c>
      <c r="O77" s="54">
        <f t="shared" si="34"/>
        <v>1382130.59</v>
      </c>
      <c r="P77" s="255">
        <f t="shared" si="35"/>
        <v>0</v>
      </c>
      <c r="Q77" s="246">
        <f t="shared" si="36"/>
        <v>0</v>
      </c>
      <c r="R77" s="248">
        <f t="shared" si="37"/>
        <v>0</v>
      </c>
      <c r="S77" s="54">
        <f t="shared" si="38"/>
        <v>0</v>
      </c>
      <c r="T77" s="255">
        <f t="shared" si="39"/>
        <v>0</v>
      </c>
      <c r="U77" s="246">
        <f t="shared" si="40"/>
        <v>0</v>
      </c>
      <c r="V77" s="248">
        <f t="shared" si="41"/>
        <v>0</v>
      </c>
      <c r="W77" s="54">
        <f t="shared" si="42"/>
        <v>0</v>
      </c>
      <c r="X77" s="255">
        <f t="shared" si="43"/>
        <v>0</v>
      </c>
      <c r="Y77" s="246">
        <f t="shared" si="44"/>
        <v>1382130.59</v>
      </c>
      <c r="Z77" s="248">
        <f t="shared" si="45"/>
        <v>0</v>
      </c>
      <c r="AA77" s="54">
        <f t="shared" si="46"/>
        <v>1382130.59</v>
      </c>
      <c r="AB77" s="255">
        <f t="shared" si="47"/>
        <v>0</v>
      </c>
      <c r="AC77" s="246">
        <f t="shared" si="48"/>
        <v>0</v>
      </c>
      <c r="AD77" s="248">
        <f t="shared" si="49"/>
        <v>0</v>
      </c>
      <c r="AE77" s="54">
        <f t="shared" si="50"/>
        <v>0</v>
      </c>
      <c r="AF77" s="255">
        <f t="shared" si="51"/>
        <v>0</v>
      </c>
      <c r="AG77" s="83">
        <f t="shared" si="52"/>
        <v>258056.21000000089</v>
      </c>
      <c r="AH77" s="146">
        <f t="shared" si="53"/>
        <v>-271967.99999999907</v>
      </c>
      <c r="AI77" s="181">
        <f t="shared" si="54"/>
        <v>-1654098.5899999992</v>
      </c>
      <c r="AJ77" s="182">
        <f t="shared" si="29"/>
        <v>-1.8829740907279859</v>
      </c>
      <c r="AK77" s="183">
        <f t="shared" si="30"/>
        <v>981251.41000000085</v>
      </c>
      <c r="AL77" s="8">
        <f t="shared" si="31"/>
        <v>2738151.4100000011</v>
      </c>
      <c r="AM77" s="34"/>
      <c r="AN77" s="35"/>
      <c r="AO77" s="104"/>
      <c r="AP77" s="265"/>
      <c r="AQ77" s="278"/>
      <c r="AR77" s="23"/>
      <c r="AS77" s="24"/>
      <c r="AT77" s="104"/>
      <c r="AU77" s="265"/>
      <c r="AV77" s="278"/>
      <c r="AW77" s="23"/>
      <c r="AX77" s="24"/>
      <c r="AY77" s="104"/>
      <c r="AZ77" s="265"/>
      <c r="BA77" s="278"/>
      <c r="BB77" s="23"/>
      <c r="BC77" s="24"/>
      <c r="BD77" s="25"/>
      <c r="BE77" s="265"/>
      <c r="BF77" s="278"/>
      <c r="BG77" s="23"/>
      <c r="BH77" s="24"/>
      <c r="BI77" s="25"/>
      <c r="BJ77" s="265"/>
      <c r="BK77" s="278"/>
      <c r="BL77" s="23"/>
      <c r="BM77" s="93"/>
      <c r="BN77" s="104"/>
      <c r="BO77" s="265"/>
      <c r="BP77" s="278"/>
      <c r="BQ77" s="34"/>
      <c r="BR77" s="35"/>
      <c r="BS77" s="99"/>
      <c r="BT77" s="263"/>
      <c r="BU77" s="278"/>
      <c r="BV77" s="23">
        <v>1382130.59</v>
      </c>
      <c r="BW77" s="24"/>
      <c r="BX77" s="104">
        <v>1382130.59</v>
      </c>
      <c r="BY77" s="263"/>
      <c r="BZ77" s="278"/>
      <c r="CA77" s="23"/>
      <c r="CB77" s="24"/>
      <c r="CC77" s="104"/>
      <c r="CD77" s="265"/>
      <c r="CE77" s="278"/>
      <c r="CF77" s="23"/>
      <c r="CG77" s="24"/>
      <c r="CH77" s="104"/>
      <c r="CI77" s="265"/>
      <c r="CJ77" s="278"/>
      <c r="CK77" s="23"/>
      <c r="CL77" s="24"/>
      <c r="CM77" s="104"/>
      <c r="CN77" s="265"/>
      <c r="CO77" s="278"/>
      <c r="CP77" s="23"/>
      <c r="CQ77" s="171"/>
      <c r="CR77" s="104"/>
      <c r="CS77" s="263"/>
      <c r="CT77" s="278"/>
      <c r="CU77" s="430"/>
      <c r="CV77" s="431"/>
      <c r="CW77" s="431"/>
      <c r="CX77" s="432"/>
      <c r="CY77" s="23"/>
      <c r="CZ77" s="171"/>
      <c r="DA77" s="171"/>
      <c r="DB77" s="172"/>
      <c r="DC77" s="433"/>
      <c r="DD77" s="65"/>
      <c r="DE77" s="65"/>
      <c r="DF77" s="434"/>
    </row>
    <row r="78" spans="1:110" x14ac:dyDescent="0.25">
      <c r="A78" s="5" t="s">
        <v>79</v>
      </c>
      <c r="B78" s="6">
        <v>73</v>
      </c>
      <c r="C78" s="456">
        <v>1194559</v>
      </c>
      <c r="D78" s="83">
        <f>'Qrtrly Cash Balances'!C75</f>
        <v>-1897232.14</v>
      </c>
      <c r="E78" s="35">
        <f>RUTF!$D76</f>
        <v>363054.92</v>
      </c>
      <c r="F78" s="401">
        <f>RUTF!$E76</f>
        <v>398223.3</v>
      </c>
      <c r="G78" s="406">
        <f>RUTF!$F76</f>
        <v>0</v>
      </c>
      <c r="H78" s="155">
        <f>RUTF!$G76</f>
        <v>0</v>
      </c>
      <c r="I78" s="156">
        <f>Federal!$F75+Federal!$J75+Federal!$N75+Federal!$R75</f>
        <v>0</v>
      </c>
      <c r="J78" s="155">
        <f>'Co Contrib'!C75+'Co Contrib'!D75+'Co Contrib'!E75+'Co Contrib'!F75+'Other Rev'!E75+'Other Rev'!H75+'Other Rev'!K75+'Other Rev'!N75</f>
        <v>0</v>
      </c>
      <c r="K78" s="149">
        <f>-1*(Expenditures!H75+Expenditures!N75+Expenditures!T75+Expenditures!Z75)</f>
        <v>-1708852.01</v>
      </c>
      <c r="L78" s="74">
        <f>'Qrtrly Obligations'!U74</f>
        <v>-2627604.85</v>
      </c>
      <c r="M78" s="246">
        <f t="shared" si="32"/>
        <v>2809420.3</v>
      </c>
      <c r="N78" s="248">
        <f t="shared" si="33"/>
        <v>561884.06000000006</v>
      </c>
      <c r="O78" s="54">
        <f t="shared" si="34"/>
        <v>0</v>
      </c>
      <c r="P78" s="255">
        <f t="shared" si="35"/>
        <v>135172</v>
      </c>
      <c r="Q78" s="246">
        <f t="shared" si="36"/>
        <v>2809420.3</v>
      </c>
      <c r="R78" s="248">
        <f t="shared" si="37"/>
        <v>561884.06000000006</v>
      </c>
      <c r="S78" s="54">
        <f t="shared" si="38"/>
        <v>0</v>
      </c>
      <c r="T78" s="255">
        <f t="shared" si="39"/>
        <v>0</v>
      </c>
      <c r="U78" s="246">
        <f t="shared" si="40"/>
        <v>0</v>
      </c>
      <c r="V78" s="248">
        <f t="shared" si="41"/>
        <v>0</v>
      </c>
      <c r="W78" s="54">
        <f t="shared" si="42"/>
        <v>0</v>
      </c>
      <c r="X78" s="255">
        <f t="shared" si="43"/>
        <v>0</v>
      </c>
      <c r="Y78" s="246">
        <f t="shared" si="44"/>
        <v>0</v>
      </c>
      <c r="Z78" s="248">
        <f t="shared" si="45"/>
        <v>0</v>
      </c>
      <c r="AA78" s="54">
        <f t="shared" si="46"/>
        <v>0</v>
      </c>
      <c r="AB78" s="255">
        <f t="shared" si="47"/>
        <v>135172</v>
      </c>
      <c r="AC78" s="246">
        <f t="shared" si="48"/>
        <v>0</v>
      </c>
      <c r="AD78" s="248">
        <f t="shared" si="49"/>
        <v>0</v>
      </c>
      <c r="AE78" s="54">
        <f t="shared" si="50"/>
        <v>0</v>
      </c>
      <c r="AF78" s="255">
        <f t="shared" si="51"/>
        <v>0</v>
      </c>
      <c r="AG78" s="83">
        <f t="shared" si="52"/>
        <v>-2844805.9299999997</v>
      </c>
      <c r="AH78" s="146">
        <f t="shared" si="53"/>
        <v>-5472410.7799999993</v>
      </c>
      <c r="AI78" s="181">
        <f t="shared" si="54"/>
        <v>-5607582.7799999993</v>
      </c>
      <c r="AJ78" s="182">
        <f t="shared" si="29"/>
        <v>-4.69427025370869</v>
      </c>
      <c r="AK78" s="183">
        <f t="shared" si="30"/>
        <v>-2023905.7799999993</v>
      </c>
      <c r="AL78" s="8">
        <f t="shared" si="31"/>
        <v>365212.22000000067</v>
      </c>
      <c r="AM78" s="34"/>
      <c r="AN78" s="24"/>
      <c r="AO78" s="99"/>
      <c r="AP78" s="265"/>
      <c r="AQ78" s="278"/>
      <c r="AR78" s="34">
        <v>2809420.3</v>
      </c>
      <c r="AS78" s="35">
        <v>561884.06000000006</v>
      </c>
      <c r="AT78" s="104"/>
      <c r="AU78" s="265"/>
      <c r="AV78" s="278"/>
      <c r="AW78" s="23"/>
      <c r="AX78" s="24"/>
      <c r="AY78" s="104"/>
      <c r="AZ78" s="265"/>
      <c r="BA78" s="278"/>
      <c r="BB78" s="23"/>
      <c r="BC78" s="24"/>
      <c r="BD78" s="25"/>
      <c r="BE78" s="265"/>
      <c r="BF78" s="278"/>
      <c r="BG78" s="34"/>
      <c r="BH78" s="35"/>
      <c r="BI78" s="25"/>
      <c r="BJ78" s="265"/>
      <c r="BK78" s="278"/>
      <c r="BL78" s="23"/>
      <c r="BM78" s="93"/>
      <c r="BN78" s="104"/>
      <c r="BO78" s="265"/>
      <c r="BP78" s="278"/>
      <c r="BQ78" s="34"/>
      <c r="BR78" s="35"/>
      <c r="BS78" s="99"/>
      <c r="BT78" s="263">
        <v>135172</v>
      </c>
      <c r="BU78" s="278"/>
      <c r="BV78" s="34"/>
      <c r="BW78" s="24"/>
      <c r="BX78" s="99"/>
      <c r="BY78" s="263"/>
      <c r="BZ78" s="278"/>
      <c r="CA78" s="34"/>
      <c r="CB78" s="25"/>
      <c r="CC78" s="274"/>
      <c r="CD78" s="265"/>
      <c r="CE78" s="278"/>
      <c r="CF78" s="23"/>
      <c r="CG78" s="24"/>
      <c r="CH78" s="104"/>
      <c r="CI78" s="265"/>
      <c r="CJ78" s="278"/>
      <c r="CK78" s="34"/>
      <c r="CL78" s="35"/>
      <c r="CM78" s="99"/>
      <c r="CN78" s="265"/>
      <c r="CO78" s="278"/>
      <c r="CP78" s="23"/>
      <c r="CQ78" s="171"/>
      <c r="CR78" s="104"/>
      <c r="CS78" s="263"/>
      <c r="CT78" s="278"/>
      <c r="CU78" s="430"/>
      <c r="CV78" s="431"/>
      <c r="CW78" s="431"/>
      <c r="CX78" s="432"/>
      <c r="CY78" s="23"/>
      <c r="CZ78" s="171"/>
      <c r="DA78" s="171"/>
      <c r="DB78" s="172"/>
      <c r="DC78" s="433"/>
      <c r="DD78" s="65"/>
      <c r="DE78" s="65"/>
      <c r="DF78" s="434"/>
    </row>
    <row r="79" spans="1:110" x14ac:dyDescent="0.25">
      <c r="A79" s="5" t="s">
        <v>80</v>
      </c>
      <c r="B79" s="6">
        <v>74</v>
      </c>
      <c r="C79" s="456">
        <v>1084100</v>
      </c>
      <c r="D79" s="83">
        <f>'Qrtrly Cash Balances'!C76</f>
        <v>985076.68</v>
      </c>
      <c r="E79" s="35">
        <f>RUTF!$D77</f>
        <v>329483.82</v>
      </c>
      <c r="F79" s="401">
        <f>RUTF!$E77</f>
        <v>361400.24</v>
      </c>
      <c r="G79" s="406">
        <f>RUTF!$F77</f>
        <v>0</v>
      </c>
      <c r="H79" s="155">
        <f>RUTF!$G77</f>
        <v>0</v>
      </c>
      <c r="I79" s="156">
        <f>Federal!$F76+Federal!$J76+Federal!$N76+Federal!$R76</f>
        <v>0</v>
      </c>
      <c r="J79" s="155">
        <f>'Co Contrib'!C76+'Co Contrib'!D76+'Co Contrib'!E76+'Co Contrib'!F76+'Other Rev'!E76+'Other Rev'!H76+'Other Rev'!K76+'Other Rev'!N76</f>
        <v>0</v>
      </c>
      <c r="K79" s="149">
        <f>-1*(Expenditures!H76+Expenditures!N76+Expenditures!T76+Expenditures!Z76)</f>
        <v>-29999</v>
      </c>
      <c r="L79" s="74">
        <f>'Qrtrly Obligations'!U75</f>
        <v>-337575.32</v>
      </c>
      <c r="M79" s="246">
        <f t="shared" si="32"/>
        <v>1700296.54</v>
      </c>
      <c r="N79" s="248">
        <f t="shared" si="33"/>
        <v>0</v>
      </c>
      <c r="O79" s="54">
        <f t="shared" si="34"/>
        <v>1700296.54</v>
      </c>
      <c r="P79" s="255">
        <f t="shared" si="35"/>
        <v>0</v>
      </c>
      <c r="Q79" s="246">
        <f t="shared" si="36"/>
        <v>0</v>
      </c>
      <c r="R79" s="248">
        <f t="shared" si="37"/>
        <v>0</v>
      </c>
      <c r="S79" s="54">
        <f t="shared" si="38"/>
        <v>0</v>
      </c>
      <c r="T79" s="255">
        <f t="shared" si="39"/>
        <v>0</v>
      </c>
      <c r="U79" s="246">
        <f t="shared" si="40"/>
        <v>0</v>
      </c>
      <c r="V79" s="248">
        <f t="shared" si="41"/>
        <v>0</v>
      </c>
      <c r="W79" s="54">
        <f t="shared" si="42"/>
        <v>0</v>
      </c>
      <c r="X79" s="255">
        <f t="shared" si="43"/>
        <v>0</v>
      </c>
      <c r="Y79" s="246">
        <f t="shared" si="44"/>
        <v>1700296.54</v>
      </c>
      <c r="Z79" s="248">
        <f t="shared" si="45"/>
        <v>0</v>
      </c>
      <c r="AA79" s="54">
        <f t="shared" si="46"/>
        <v>1700296.54</v>
      </c>
      <c r="AB79" s="255">
        <f t="shared" si="47"/>
        <v>0</v>
      </c>
      <c r="AC79" s="246">
        <f t="shared" si="48"/>
        <v>0</v>
      </c>
      <c r="AD79" s="248">
        <f t="shared" si="49"/>
        <v>0</v>
      </c>
      <c r="AE79" s="54">
        <f t="shared" si="50"/>
        <v>0</v>
      </c>
      <c r="AF79" s="255">
        <f t="shared" si="51"/>
        <v>0</v>
      </c>
      <c r="AG79" s="83">
        <f t="shared" si="52"/>
        <v>1645961.74</v>
      </c>
      <c r="AH79" s="146">
        <f t="shared" si="53"/>
        <v>1308386.42</v>
      </c>
      <c r="AI79" s="181">
        <f t="shared" si="54"/>
        <v>-391910.12000000011</v>
      </c>
      <c r="AJ79" s="182">
        <f t="shared" si="29"/>
        <v>-0.36150735172032111</v>
      </c>
      <c r="AK79" s="183">
        <f t="shared" si="30"/>
        <v>2860389.88</v>
      </c>
      <c r="AL79" s="8">
        <f t="shared" si="31"/>
        <v>5028589.88</v>
      </c>
      <c r="AM79" s="23"/>
      <c r="AN79" s="24"/>
      <c r="AO79" s="104"/>
      <c r="AP79" s="265"/>
      <c r="AQ79" s="278"/>
      <c r="AR79" s="34"/>
      <c r="AS79" s="35"/>
      <c r="AT79" s="104"/>
      <c r="AU79" s="265"/>
      <c r="AV79" s="278"/>
      <c r="AW79" s="23"/>
      <c r="AX79" s="24"/>
      <c r="AY79" s="104"/>
      <c r="AZ79" s="265"/>
      <c r="BA79" s="278"/>
      <c r="BB79" s="23"/>
      <c r="BC79" s="24"/>
      <c r="BD79" s="25"/>
      <c r="BE79" s="265"/>
      <c r="BF79" s="278"/>
      <c r="BG79" s="34"/>
      <c r="BH79" s="35"/>
      <c r="BI79" s="25"/>
      <c r="BJ79" s="265"/>
      <c r="BK79" s="278"/>
      <c r="BL79" s="23"/>
      <c r="BM79" s="93"/>
      <c r="BN79" s="104"/>
      <c r="BO79" s="265"/>
      <c r="BP79" s="278"/>
      <c r="BQ79" s="34"/>
      <c r="BR79" s="35"/>
      <c r="BS79" s="99"/>
      <c r="BT79" s="263"/>
      <c r="BU79" s="278"/>
      <c r="BV79" s="34"/>
      <c r="BW79" s="24"/>
      <c r="BX79" s="99"/>
      <c r="BY79" s="263"/>
      <c r="BZ79" s="278"/>
      <c r="CA79" s="23">
        <f>963337.1+736959.44</f>
        <v>1700296.54</v>
      </c>
      <c r="CB79" s="25"/>
      <c r="CC79" s="275">
        <f>963337.1+736959.44</f>
        <v>1700296.54</v>
      </c>
      <c r="CD79" s="265"/>
      <c r="CE79" s="278"/>
      <c r="CF79" s="23"/>
      <c r="CG79" s="24"/>
      <c r="CH79" s="104"/>
      <c r="CI79" s="265"/>
      <c r="CJ79" s="278"/>
      <c r="CK79" s="23"/>
      <c r="CL79" s="24"/>
      <c r="CM79" s="104"/>
      <c r="CN79" s="265"/>
      <c r="CO79" s="278"/>
      <c r="CP79" s="23"/>
      <c r="CQ79" s="171"/>
      <c r="CR79" s="104"/>
      <c r="CS79" s="263"/>
      <c r="CT79" s="278"/>
      <c r="CU79" s="430"/>
      <c r="CV79" s="431"/>
      <c r="CW79" s="431"/>
      <c r="CX79" s="432"/>
      <c r="CY79" s="23"/>
      <c r="CZ79" s="171"/>
      <c r="DA79" s="171"/>
      <c r="DB79" s="172"/>
      <c r="DC79" s="433"/>
      <c r="DD79" s="65"/>
      <c r="DE79" s="65"/>
      <c r="DF79" s="434"/>
    </row>
    <row r="80" spans="1:110" x14ac:dyDescent="0.25">
      <c r="A80" s="9" t="s">
        <v>81</v>
      </c>
      <c r="B80" s="17">
        <v>75</v>
      </c>
      <c r="C80" s="457">
        <v>1893207</v>
      </c>
      <c r="D80" s="84">
        <f>'Qrtrly Cash Balances'!C77</f>
        <v>-2347456.08</v>
      </c>
      <c r="E80" s="33">
        <f>RUTF!$D78</f>
        <v>575390.56999999995</v>
      </c>
      <c r="F80" s="402">
        <f>RUTF!$E78</f>
        <v>631127.48</v>
      </c>
      <c r="G80" s="160">
        <f>RUTF!$F78</f>
        <v>0</v>
      </c>
      <c r="H80" s="159">
        <f>RUTF!$G78</f>
        <v>0</v>
      </c>
      <c r="I80" s="160">
        <f>Federal!$F77+Federal!$J77+Federal!$N77+Federal!$R77</f>
        <v>0</v>
      </c>
      <c r="J80" s="159">
        <f>'Co Contrib'!C77+'Co Contrib'!D77+'Co Contrib'!E77+'Co Contrib'!F77+'Other Rev'!E77+'Other Rev'!H77+'Other Rev'!K77+'Other Rev'!N77</f>
        <v>0</v>
      </c>
      <c r="K80" s="151">
        <f>-1*(Expenditures!H77+Expenditures!N77+Expenditures!T77+Expenditures!Z77)</f>
        <v>-3180734.69</v>
      </c>
      <c r="L80" s="56">
        <f>'Qrtrly Obligations'!U76</f>
        <v>-2764897.63</v>
      </c>
      <c r="M80" s="249">
        <f t="shared" si="32"/>
        <v>5626008.5300000003</v>
      </c>
      <c r="N80" s="250">
        <f t="shared" si="33"/>
        <v>2000</v>
      </c>
      <c r="O80" s="253">
        <f t="shared" si="34"/>
        <v>4932824.53</v>
      </c>
      <c r="P80" s="256">
        <f t="shared" si="35"/>
        <v>0</v>
      </c>
      <c r="Q80" s="249">
        <f t="shared" si="36"/>
        <v>0</v>
      </c>
      <c r="R80" s="250">
        <f t="shared" si="37"/>
        <v>0</v>
      </c>
      <c r="S80" s="253">
        <f t="shared" si="38"/>
        <v>0</v>
      </c>
      <c r="T80" s="256">
        <f t="shared" si="39"/>
        <v>0</v>
      </c>
      <c r="U80" s="249">
        <f t="shared" si="40"/>
        <v>2734897.62</v>
      </c>
      <c r="V80" s="250">
        <f t="shared" si="41"/>
        <v>2000</v>
      </c>
      <c r="W80" s="253">
        <f t="shared" si="42"/>
        <v>2041713.62</v>
      </c>
      <c r="X80" s="256">
        <f t="shared" si="43"/>
        <v>0</v>
      </c>
      <c r="Y80" s="249">
        <f t="shared" si="44"/>
        <v>2891110.91</v>
      </c>
      <c r="Z80" s="250">
        <f t="shared" si="45"/>
        <v>0</v>
      </c>
      <c r="AA80" s="253">
        <f t="shared" si="46"/>
        <v>2891110.91</v>
      </c>
      <c r="AB80" s="256">
        <f t="shared" si="47"/>
        <v>0</v>
      </c>
      <c r="AC80" s="249">
        <f t="shared" si="48"/>
        <v>0</v>
      </c>
      <c r="AD80" s="250">
        <f t="shared" si="49"/>
        <v>0</v>
      </c>
      <c r="AE80" s="253">
        <f t="shared" si="50"/>
        <v>0</v>
      </c>
      <c r="AF80" s="256">
        <f t="shared" si="51"/>
        <v>0</v>
      </c>
      <c r="AG80" s="84">
        <f t="shared" si="52"/>
        <v>-4321672.7200000007</v>
      </c>
      <c r="AH80" s="147">
        <f t="shared" si="53"/>
        <v>-7086570.3500000006</v>
      </c>
      <c r="AI80" s="184">
        <f t="shared" si="54"/>
        <v>-9977681.2600000016</v>
      </c>
      <c r="AJ80" s="185">
        <f t="shared" si="29"/>
        <v>-5.2702537334797528</v>
      </c>
      <c r="AK80" s="183">
        <f t="shared" si="30"/>
        <v>-4298060.2600000016</v>
      </c>
      <c r="AL80" s="19">
        <f t="shared" si="31"/>
        <v>-511646.26000000164</v>
      </c>
      <c r="AM80" s="26"/>
      <c r="AN80" s="27"/>
      <c r="AO80" s="269"/>
      <c r="AP80" s="267"/>
      <c r="AQ80" s="174"/>
      <c r="AR80" s="26"/>
      <c r="AS80" s="27"/>
      <c r="AT80" s="269"/>
      <c r="AU80" s="267"/>
      <c r="AV80" s="174"/>
      <c r="AW80" s="26"/>
      <c r="AX80" s="27"/>
      <c r="AY80" s="269"/>
      <c r="AZ80" s="267"/>
      <c r="BA80" s="174"/>
      <c r="BB80" s="26"/>
      <c r="BC80" s="27"/>
      <c r="BD80" s="28"/>
      <c r="BE80" s="267"/>
      <c r="BF80" s="174"/>
      <c r="BG80" s="26">
        <f>2041713.62+693184</f>
        <v>2734897.62</v>
      </c>
      <c r="BH80" s="27">
        <v>2000</v>
      </c>
      <c r="BI80" s="28">
        <v>2041713.62</v>
      </c>
      <c r="BJ80" s="267"/>
      <c r="BK80" s="174"/>
      <c r="BL80" s="26"/>
      <c r="BM80" s="173"/>
      <c r="BN80" s="269"/>
      <c r="BO80" s="267"/>
      <c r="BP80" s="174"/>
      <c r="BQ80" s="37"/>
      <c r="BR80" s="33"/>
      <c r="BS80" s="260"/>
      <c r="BT80" s="264"/>
      <c r="BU80" s="174"/>
      <c r="BV80" s="37"/>
      <c r="BW80" s="27"/>
      <c r="BX80" s="260"/>
      <c r="BY80" s="264"/>
      <c r="BZ80" s="174"/>
      <c r="CA80" s="37">
        <f>1729171.4+1161939.51</f>
        <v>2891110.91</v>
      </c>
      <c r="CB80" s="50"/>
      <c r="CC80" s="105">
        <f>1729171.4+1161939.51</f>
        <v>2891110.91</v>
      </c>
      <c r="CD80" s="267"/>
      <c r="CE80" s="174"/>
      <c r="CF80" s="37"/>
      <c r="CG80" s="33"/>
      <c r="CH80" s="269"/>
      <c r="CI80" s="267"/>
      <c r="CJ80" s="174"/>
      <c r="CK80" s="37"/>
      <c r="CL80" s="33"/>
      <c r="CM80" s="269"/>
      <c r="CN80" s="267"/>
      <c r="CO80" s="174"/>
      <c r="CP80" s="26"/>
      <c r="CQ80" s="173"/>
      <c r="CR80" s="269"/>
      <c r="CS80" s="264"/>
      <c r="CT80" s="174"/>
      <c r="CU80" s="437"/>
      <c r="CV80" s="438"/>
      <c r="CW80" s="438"/>
      <c r="CX80" s="439"/>
      <c r="CY80" s="26"/>
      <c r="CZ80" s="173"/>
      <c r="DA80" s="173"/>
      <c r="DB80" s="174"/>
      <c r="DC80" s="433"/>
      <c r="DD80" s="65"/>
      <c r="DE80" s="65"/>
      <c r="DF80" s="434"/>
    </row>
    <row r="81" spans="1:110" x14ac:dyDescent="0.25">
      <c r="A81" s="5" t="s">
        <v>82</v>
      </c>
      <c r="B81" s="6">
        <v>76</v>
      </c>
      <c r="C81" s="456">
        <v>1063112</v>
      </c>
      <c r="D81" s="83">
        <f>'Qrtrly Cash Balances'!C78</f>
        <v>2295116.13</v>
      </c>
      <c r="E81" s="35">
        <f>RUTF!$D79</f>
        <v>323105.19</v>
      </c>
      <c r="F81" s="401">
        <f>RUTF!$E79</f>
        <v>354403.73</v>
      </c>
      <c r="G81" s="406">
        <f>RUTF!$F79</f>
        <v>0</v>
      </c>
      <c r="H81" s="155">
        <f>RUTF!$G79</f>
        <v>0</v>
      </c>
      <c r="I81" s="156">
        <f>Federal!$F78+Federal!$J78+Federal!$N78+Federal!$R78</f>
        <v>1499999.98</v>
      </c>
      <c r="J81" s="155">
        <f>'Co Contrib'!C78+'Co Contrib'!D78+'Co Contrib'!E78+'Co Contrib'!F78+'Other Rev'!E78+'Other Rev'!H78+'Other Rev'!K78+'Other Rev'!N78</f>
        <v>0</v>
      </c>
      <c r="K81" s="149">
        <f>-1*(Expenditures!H78+Expenditures!N78+Expenditures!T78+Expenditures!Z78)</f>
        <v>-2747179.52</v>
      </c>
      <c r="L81" s="74">
        <f>'Qrtrly Obligations'!U77</f>
        <v>-47337.91</v>
      </c>
      <c r="M81" s="246">
        <f t="shared" si="32"/>
        <v>0</v>
      </c>
      <c r="N81" s="248">
        <f t="shared" si="33"/>
        <v>0</v>
      </c>
      <c r="O81" s="54">
        <f t="shared" si="34"/>
        <v>0</v>
      </c>
      <c r="P81" s="255">
        <f t="shared" si="35"/>
        <v>0</v>
      </c>
      <c r="Q81" s="246">
        <f t="shared" si="36"/>
        <v>0</v>
      </c>
      <c r="R81" s="248">
        <f t="shared" si="37"/>
        <v>0</v>
      </c>
      <c r="S81" s="54">
        <f t="shared" si="38"/>
        <v>0</v>
      </c>
      <c r="T81" s="255">
        <f t="shared" si="39"/>
        <v>0</v>
      </c>
      <c r="U81" s="246">
        <f t="shared" si="40"/>
        <v>0</v>
      </c>
      <c r="V81" s="248">
        <f t="shared" si="41"/>
        <v>0</v>
      </c>
      <c r="W81" s="54">
        <f t="shared" si="42"/>
        <v>0</v>
      </c>
      <c r="X81" s="255">
        <f t="shared" si="43"/>
        <v>0</v>
      </c>
      <c r="Y81" s="246">
        <f t="shared" si="44"/>
        <v>0</v>
      </c>
      <c r="Z81" s="248">
        <f t="shared" si="45"/>
        <v>0</v>
      </c>
      <c r="AA81" s="54">
        <f t="shared" si="46"/>
        <v>0</v>
      </c>
      <c r="AB81" s="255">
        <f t="shared" si="47"/>
        <v>0</v>
      </c>
      <c r="AC81" s="246">
        <f t="shared" si="48"/>
        <v>0</v>
      </c>
      <c r="AD81" s="248">
        <f t="shared" si="49"/>
        <v>0</v>
      </c>
      <c r="AE81" s="54">
        <f t="shared" si="50"/>
        <v>0</v>
      </c>
      <c r="AF81" s="255">
        <f t="shared" si="51"/>
        <v>0</v>
      </c>
      <c r="AG81" s="83">
        <f t="shared" si="52"/>
        <v>1725445.5099999993</v>
      </c>
      <c r="AH81" s="146">
        <f t="shared" si="53"/>
        <v>1678107.5999999994</v>
      </c>
      <c r="AI81" s="181">
        <f t="shared" si="54"/>
        <v>1678107.5999999994</v>
      </c>
      <c r="AJ81" s="182">
        <f t="shared" si="29"/>
        <v>1.578486180195501</v>
      </c>
      <c r="AK81" s="186">
        <f t="shared" si="30"/>
        <v>4867443.5999999996</v>
      </c>
      <c r="AL81" s="8">
        <f t="shared" si="31"/>
        <v>6993667.5999999996</v>
      </c>
      <c r="AM81" s="23"/>
      <c r="AN81" s="24"/>
      <c r="AO81" s="104"/>
      <c r="AP81" s="265"/>
      <c r="AQ81" s="278"/>
      <c r="AR81" s="23"/>
      <c r="AS81" s="24"/>
      <c r="AT81" s="104"/>
      <c r="AU81" s="265"/>
      <c r="AV81" s="278"/>
      <c r="AW81" s="23"/>
      <c r="AX81" s="24"/>
      <c r="AY81" s="104"/>
      <c r="AZ81" s="265"/>
      <c r="BA81" s="278"/>
      <c r="BB81" s="23"/>
      <c r="BC81" s="24"/>
      <c r="BD81" s="25"/>
      <c r="BE81" s="265"/>
      <c r="BF81" s="278"/>
      <c r="BG81" s="34"/>
      <c r="BH81" s="24"/>
      <c r="BI81" s="36"/>
      <c r="BJ81" s="265"/>
      <c r="BK81" s="278"/>
      <c r="BL81" s="23"/>
      <c r="BM81" s="93"/>
      <c r="BN81" s="104"/>
      <c r="BO81" s="265"/>
      <c r="BP81" s="278"/>
      <c r="BQ81" s="34"/>
      <c r="BR81" s="35"/>
      <c r="BS81" s="99"/>
      <c r="BT81" s="263"/>
      <c r="BU81" s="278"/>
      <c r="BV81" s="34"/>
      <c r="BW81" s="35"/>
      <c r="BX81" s="104"/>
      <c r="BY81" s="263"/>
      <c r="BZ81" s="278"/>
      <c r="CA81" s="23"/>
      <c r="CB81" s="24"/>
      <c r="CC81" s="104"/>
      <c r="CD81" s="265"/>
      <c r="CE81" s="278"/>
      <c r="CF81" s="23"/>
      <c r="CG81" s="24"/>
      <c r="CH81" s="104"/>
      <c r="CI81" s="265"/>
      <c r="CJ81" s="278"/>
      <c r="CK81" s="23"/>
      <c r="CL81" s="24"/>
      <c r="CM81" s="104"/>
      <c r="CN81" s="265"/>
      <c r="CO81" s="278"/>
      <c r="CP81" s="23"/>
      <c r="CQ81" s="171"/>
      <c r="CR81" s="104"/>
      <c r="CS81" s="263"/>
      <c r="CT81" s="278"/>
      <c r="CU81" s="430"/>
      <c r="CV81" s="431"/>
      <c r="CW81" s="431"/>
      <c r="CX81" s="432"/>
      <c r="CY81" s="23"/>
      <c r="CZ81" s="171"/>
      <c r="DA81" s="171"/>
      <c r="DB81" s="172"/>
      <c r="DC81" s="433"/>
      <c r="DD81" s="65"/>
      <c r="DE81" s="65"/>
      <c r="DF81" s="434"/>
    </row>
    <row r="82" spans="1:110" s="32" customFormat="1" x14ac:dyDescent="0.25">
      <c r="A82" s="5" t="s">
        <v>83</v>
      </c>
      <c r="B82" s="6">
        <v>77</v>
      </c>
      <c r="C82" s="456">
        <v>2527126</v>
      </c>
      <c r="D82" s="83">
        <f>'Qrtrly Cash Balances'!C79</f>
        <v>15519246.82</v>
      </c>
      <c r="E82" s="35">
        <f>RUTF!$D80</f>
        <v>768054.38</v>
      </c>
      <c r="F82" s="94">
        <f>RUTF!$E80</f>
        <v>842454.23</v>
      </c>
      <c r="G82" s="407">
        <f>RUTF!$F80</f>
        <v>0</v>
      </c>
      <c r="H82" s="157">
        <f>RUTF!$G80</f>
        <v>0</v>
      </c>
      <c r="I82" s="158">
        <f>Federal!$F79+Federal!$J79+Federal!$N79+Federal!$R79</f>
        <v>5961875.5300000003</v>
      </c>
      <c r="J82" s="157">
        <f>'Co Contrib'!C79+'Co Contrib'!D79+'Co Contrib'!E79+'Co Contrib'!F79+'Other Rev'!E79+'Other Rev'!H79+'Other Rev'!K79+'Other Rev'!N79</f>
        <v>5666731.04</v>
      </c>
      <c r="K82" s="150">
        <f>-1*(Expenditures!H79+Expenditures!N79+Expenditures!T79+Expenditures!Z79)</f>
        <v>-7306903.8300000001</v>
      </c>
      <c r="L82" s="74">
        <f>'Qrtrly Obligations'!U78</f>
        <v>-29885761.219999999</v>
      </c>
      <c r="M82" s="246">
        <f t="shared" si="32"/>
        <v>567224.80000000005</v>
      </c>
      <c r="N82" s="248">
        <f t="shared" si="33"/>
        <v>113444.96</v>
      </c>
      <c r="O82" s="54">
        <f t="shared" si="34"/>
        <v>0</v>
      </c>
      <c r="P82" s="255">
        <f t="shared" si="35"/>
        <v>0</v>
      </c>
      <c r="Q82" s="246">
        <f t="shared" si="36"/>
        <v>0</v>
      </c>
      <c r="R82" s="248">
        <f t="shared" si="37"/>
        <v>0</v>
      </c>
      <c r="S82" s="54">
        <f t="shared" si="38"/>
        <v>0</v>
      </c>
      <c r="T82" s="255">
        <f t="shared" si="39"/>
        <v>0</v>
      </c>
      <c r="U82" s="246">
        <f t="shared" si="40"/>
        <v>0</v>
      </c>
      <c r="V82" s="248">
        <f t="shared" si="41"/>
        <v>0</v>
      </c>
      <c r="W82" s="54">
        <f t="shared" si="42"/>
        <v>0</v>
      </c>
      <c r="X82" s="255">
        <f t="shared" si="43"/>
        <v>0</v>
      </c>
      <c r="Y82" s="246">
        <f t="shared" si="44"/>
        <v>567224.80000000005</v>
      </c>
      <c r="Z82" s="248">
        <f t="shared" si="45"/>
        <v>113444.96</v>
      </c>
      <c r="AA82" s="54">
        <f t="shared" si="46"/>
        <v>0</v>
      </c>
      <c r="AB82" s="255">
        <f t="shared" si="47"/>
        <v>0</v>
      </c>
      <c r="AC82" s="246">
        <f t="shared" si="48"/>
        <v>0</v>
      </c>
      <c r="AD82" s="248">
        <f t="shared" si="49"/>
        <v>0</v>
      </c>
      <c r="AE82" s="54">
        <f t="shared" si="50"/>
        <v>0</v>
      </c>
      <c r="AF82" s="255">
        <f t="shared" si="51"/>
        <v>0</v>
      </c>
      <c r="AG82" s="83">
        <f t="shared" si="52"/>
        <v>21451458.170000002</v>
      </c>
      <c r="AH82" s="146">
        <f t="shared" si="53"/>
        <v>-8434303.049999997</v>
      </c>
      <c r="AI82" s="181">
        <f t="shared" si="54"/>
        <v>-8547748.0099999979</v>
      </c>
      <c r="AJ82" s="182">
        <f t="shared" si="29"/>
        <v>-3.3823988238022156</v>
      </c>
      <c r="AK82" s="183">
        <f t="shared" si="30"/>
        <v>-966370.00999999791</v>
      </c>
      <c r="AL82" s="8">
        <f t="shared" si="31"/>
        <v>4087881.9900000021</v>
      </c>
      <c r="AM82" s="23"/>
      <c r="AN82" s="24"/>
      <c r="AO82" s="104"/>
      <c r="AP82" s="265"/>
      <c r="AQ82" s="278"/>
      <c r="AR82" s="23"/>
      <c r="AS82" s="24"/>
      <c r="AT82" s="104"/>
      <c r="AU82" s="265"/>
      <c r="AV82" s="278"/>
      <c r="AW82" s="23"/>
      <c r="AX82" s="24"/>
      <c r="AY82" s="104"/>
      <c r="AZ82" s="265"/>
      <c r="BA82" s="278"/>
      <c r="BB82" s="23"/>
      <c r="BC82" s="24"/>
      <c r="BD82" s="25"/>
      <c r="BE82" s="265"/>
      <c r="BF82" s="278"/>
      <c r="BG82" s="23"/>
      <c r="BH82" s="24"/>
      <c r="BI82" s="25"/>
      <c r="BJ82" s="265"/>
      <c r="BK82" s="278"/>
      <c r="BL82" s="23"/>
      <c r="BM82" s="93"/>
      <c r="BN82" s="104"/>
      <c r="BO82" s="265"/>
      <c r="BP82" s="278"/>
      <c r="BQ82" s="34"/>
      <c r="BR82" s="35"/>
      <c r="BS82" s="99"/>
      <c r="BT82" s="263"/>
      <c r="BU82" s="278"/>
      <c r="BV82" s="34"/>
      <c r="BW82" s="35"/>
      <c r="BX82" s="104"/>
      <c r="BY82" s="263"/>
      <c r="BZ82" s="278"/>
      <c r="CA82" s="34">
        <v>567224.80000000005</v>
      </c>
      <c r="CB82" s="35">
        <v>113444.96</v>
      </c>
      <c r="CC82" s="104"/>
      <c r="CD82" s="265"/>
      <c r="CE82" s="278"/>
      <c r="CF82" s="34"/>
      <c r="CG82" s="35"/>
      <c r="CH82" s="104"/>
      <c r="CI82" s="265"/>
      <c r="CJ82" s="278"/>
      <c r="CK82" s="23"/>
      <c r="CL82" s="24"/>
      <c r="CM82" s="104"/>
      <c r="CN82" s="265"/>
      <c r="CO82" s="278"/>
      <c r="CP82" s="34"/>
      <c r="CQ82" s="279"/>
      <c r="CR82" s="104"/>
      <c r="CS82" s="263"/>
      <c r="CT82" s="278"/>
      <c r="CU82" s="430"/>
      <c r="CV82" s="431"/>
      <c r="CW82" s="431"/>
      <c r="CX82" s="432"/>
      <c r="CY82" s="23"/>
      <c r="CZ82" s="171"/>
      <c r="DA82" s="171"/>
      <c r="DB82" s="172"/>
      <c r="DC82" s="433"/>
      <c r="DD82" s="435"/>
      <c r="DE82" s="435"/>
      <c r="DF82" s="436"/>
    </row>
    <row r="83" spans="1:110" x14ac:dyDescent="0.25">
      <c r="A83" s="5" t="s">
        <v>84</v>
      </c>
      <c r="B83" s="6">
        <v>78</v>
      </c>
      <c r="C83" s="456">
        <v>2527345</v>
      </c>
      <c r="D83" s="83">
        <f>'Qrtrly Cash Balances'!C80</f>
        <v>87651.67</v>
      </c>
      <c r="E83" s="35">
        <f>RUTF!$D81</f>
        <v>768121.04</v>
      </c>
      <c r="F83" s="401">
        <f>RUTF!$E81</f>
        <v>842527.35</v>
      </c>
      <c r="G83" s="406">
        <f>RUTF!$F81</f>
        <v>0</v>
      </c>
      <c r="H83" s="155">
        <f>RUTF!$G81</f>
        <v>0</v>
      </c>
      <c r="I83" s="156">
        <f>Federal!$F80+Federal!$J80+Federal!$N80+Federal!$R80</f>
        <v>0</v>
      </c>
      <c r="J83" s="155">
        <f>'Co Contrib'!C80+'Co Contrib'!D80+'Co Contrib'!E80+'Co Contrib'!F80+'Other Rev'!E80+'Other Rev'!H80+'Other Rev'!K80+'Other Rev'!N80</f>
        <v>0</v>
      </c>
      <c r="K83" s="149">
        <f>-1*(Expenditures!H80+Expenditures!N80+Expenditures!T80+Expenditures!Z80)</f>
        <v>-155755.72999999998</v>
      </c>
      <c r="L83" s="74">
        <f>'Qrtrly Obligations'!U79</f>
        <v>-138124.69</v>
      </c>
      <c r="M83" s="246">
        <f t="shared" si="32"/>
        <v>0</v>
      </c>
      <c r="N83" s="248">
        <f t="shared" si="33"/>
        <v>0</v>
      </c>
      <c r="O83" s="54">
        <f t="shared" si="34"/>
        <v>0</v>
      </c>
      <c r="P83" s="255">
        <f t="shared" si="35"/>
        <v>0</v>
      </c>
      <c r="Q83" s="246">
        <f t="shared" si="36"/>
        <v>0</v>
      </c>
      <c r="R83" s="248">
        <f t="shared" si="37"/>
        <v>0</v>
      </c>
      <c r="S83" s="54">
        <f t="shared" si="38"/>
        <v>0</v>
      </c>
      <c r="T83" s="255">
        <f t="shared" si="39"/>
        <v>0</v>
      </c>
      <c r="U83" s="246">
        <f t="shared" si="40"/>
        <v>0</v>
      </c>
      <c r="V83" s="248">
        <f t="shared" si="41"/>
        <v>0</v>
      </c>
      <c r="W83" s="54">
        <f t="shared" si="42"/>
        <v>0</v>
      </c>
      <c r="X83" s="255">
        <f t="shared" si="43"/>
        <v>0</v>
      </c>
      <c r="Y83" s="246">
        <f t="shared" si="44"/>
        <v>0</v>
      </c>
      <c r="Z83" s="248">
        <f t="shared" si="45"/>
        <v>0</v>
      </c>
      <c r="AA83" s="54">
        <f t="shared" si="46"/>
        <v>0</v>
      </c>
      <c r="AB83" s="255">
        <f t="shared" si="47"/>
        <v>0</v>
      </c>
      <c r="AC83" s="246">
        <f t="shared" si="48"/>
        <v>0</v>
      </c>
      <c r="AD83" s="248">
        <f t="shared" si="49"/>
        <v>0</v>
      </c>
      <c r="AE83" s="54">
        <f t="shared" si="50"/>
        <v>0</v>
      </c>
      <c r="AF83" s="255">
        <f t="shared" si="51"/>
        <v>0</v>
      </c>
      <c r="AG83" s="83">
        <f t="shared" si="52"/>
        <v>1542544.33</v>
      </c>
      <c r="AH83" s="146">
        <f t="shared" si="53"/>
        <v>1404419.6400000001</v>
      </c>
      <c r="AI83" s="181">
        <f t="shared" si="54"/>
        <v>1404419.6400000001</v>
      </c>
      <c r="AJ83" s="182">
        <f t="shared" si="29"/>
        <v>0.55568972182270338</v>
      </c>
      <c r="AK83" s="183">
        <f t="shared" si="30"/>
        <v>8986454.6400000006</v>
      </c>
      <c r="AL83" s="8">
        <f t="shared" si="31"/>
        <v>14041144.640000001</v>
      </c>
      <c r="AM83" s="34"/>
      <c r="AN83" s="35"/>
      <c r="AO83" s="99"/>
      <c r="AP83" s="265"/>
      <c r="AQ83" s="278"/>
      <c r="AR83" s="23"/>
      <c r="AS83" s="24"/>
      <c r="AT83" s="104"/>
      <c r="AU83" s="265"/>
      <c r="AV83" s="278"/>
      <c r="AW83" s="23"/>
      <c r="AX83" s="24"/>
      <c r="AY83" s="104"/>
      <c r="AZ83" s="265"/>
      <c r="BA83" s="278"/>
      <c r="BB83" s="23"/>
      <c r="BC83" s="24"/>
      <c r="BD83" s="25"/>
      <c r="BE83" s="265"/>
      <c r="BF83" s="278"/>
      <c r="BG83" s="23"/>
      <c r="BH83" s="24"/>
      <c r="BI83" s="25"/>
      <c r="BJ83" s="265"/>
      <c r="BK83" s="278"/>
      <c r="BL83" s="23"/>
      <c r="BM83" s="93"/>
      <c r="BN83" s="104"/>
      <c r="BO83" s="265"/>
      <c r="BP83" s="278"/>
      <c r="BQ83" s="34"/>
      <c r="BR83" s="35"/>
      <c r="BS83" s="99"/>
      <c r="BT83" s="263"/>
      <c r="BU83" s="278"/>
      <c r="BV83" s="34"/>
      <c r="BW83" s="24"/>
      <c r="BX83" s="99"/>
      <c r="BY83" s="263"/>
      <c r="BZ83" s="278"/>
      <c r="CA83" s="34"/>
      <c r="CB83" s="35"/>
      <c r="CC83" s="104"/>
      <c r="CD83" s="265"/>
      <c r="CE83" s="278"/>
      <c r="CF83" s="23"/>
      <c r="CG83" s="24"/>
      <c r="CH83" s="104"/>
      <c r="CI83" s="265"/>
      <c r="CJ83" s="278"/>
      <c r="CK83" s="34"/>
      <c r="CL83" s="35"/>
      <c r="CM83" s="104"/>
      <c r="CN83" s="265"/>
      <c r="CO83" s="278"/>
      <c r="CP83" s="23"/>
      <c r="CQ83" s="171"/>
      <c r="CR83" s="104"/>
      <c r="CS83" s="263"/>
      <c r="CT83" s="278"/>
      <c r="CU83" s="430"/>
      <c r="CV83" s="431"/>
      <c r="CW83" s="431"/>
      <c r="CX83" s="432"/>
      <c r="CY83" s="23"/>
      <c r="CZ83" s="171"/>
      <c r="DA83" s="171"/>
      <c r="DB83" s="172"/>
      <c r="DC83" s="433"/>
      <c r="DD83" s="65"/>
      <c r="DE83" s="65"/>
      <c r="DF83" s="434"/>
    </row>
    <row r="84" spans="1:110" x14ac:dyDescent="0.25">
      <c r="A84" s="5" t="s">
        <v>85</v>
      </c>
      <c r="B84" s="6">
        <v>79</v>
      </c>
      <c r="C84" s="456">
        <v>1131632</v>
      </c>
      <c r="D84" s="83">
        <f>'Qrtrly Cash Balances'!C81</f>
        <v>3048424.17</v>
      </c>
      <c r="E84" s="35">
        <f>RUTF!$D82</f>
        <v>343929.97</v>
      </c>
      <c r="F84" s="401">
        <f>RUTF!$E82</f>
        <v>377245.77</v>
      </c>
      <c r="G84" s="406">
        <f>RUTF!$F82</f>
        <v>0</v>
      </c>
      <c r="H84" s="155">
        <f>RUTF!$G82</f>
        <v>0</v>
      </c>
      <c r="I84" s="156">
        <f>Federal!$F81+Federal!$J81+Federal!$N81+Federal!$R81</f>
        <v>378526.56</v>
      </c>
      <c r="J84" s="155">
        <f>'Co Contrib'!C81+'Co Contrib'!D81+'Co Contrib'!E81+'Co Contrib'!F81+'Other Rev'!E81+'Other Rev'!H81+'Other Rev'!K81+'Other Rev'!N81</f>
        <v>13745</v>
      </c>
      <c r="K84" s="149">
        <f>-1*(Expenditures!H81+Expenditures!N81+Expenditures!T81+Expenditures!Z81)</f>
        <v>-452271.56</v>
      </c>
      <c r="L84" s="74">
        <f>'Qrtrly Obligations'!U80</f>
        <v>-23642.04</v>
      </c>
      <c r="M84" s="246">
        <f t="shared" si="32"/>
        <v>3774503.8899999997</v>
      </c>
      <c r="N84" s="248">
        <f t="shared" si="33"/>
        <v>339508.98</v>
      </c>
      <c r="O84" s="54">
        <f t="shared" si="34"/>
        <v>2076959.01</v>
      </c>
      <c r="P84" s="255">
        <f t="shared" si="35"/>
        <v>0</v>
      </c>
      <c r="Q84" s="246">
        <f t="shared" si="36"/>
        <v>0</v>
      </c>
      <c r="R84" s="248">
        <f t="shared" si="37"/>
        <v>0</v>
      </c>
      <c r="S84" s="54">
        <f t="shared" si="38"/>
        <v>0</v>
      </c>
      <c r="T84" s="255">
        <f t="shared" si="39"/>
        <v>0</v>
      </c>
      <c r="U84" s="246">
        <f t="shared" si="40"/>
        <v>0</v>
      </c>
      <c r="V84" s="248">
        <f t="shared" si="41"/>
        <v>0</v>
      </c>
      <c r="W84" s="54">
        <f t="shared" si="42"/>
        <v>0</v>
      </c>
      <c r="X84" s="255">
        <f t="shared" si="43"/>
        <v>0</v>
      </c>
      <c r="Y84" s="246">
        <f t="shared" si="44"/>
        <v>3774503.8899999997</v>
      </c>
      <c r="Z84" s="248">
        <f t="shared" si="45"/>
        <v>339508.98</v>
      </c>
      <c r="AA84" s="54">
        <f t="shared" si="46"/>
        <v>2076959.01</v>
      </c>
      <c r="AB84" s="255">
        <f t="shared" si="47"/>
        <v>0</v>
      </c>
      <c r="AC84" s="246">
        <f t="shared" si="48"/>
        <v>0</v>
      </c>
      <c r="AD84" s="248">
        <f t="shared" si="49"/>
        <v>0</v>
      </c>
      <c r="AE84" s="54">
        <f t="shared" si="50"/>
        <v>0</v>
      </c>
      <c r="AF84" s="255">
        <f t="shared" si="51"/>
        <v>0</v>
      </c>
      <c r="AG84" s="83">
        <f t="shared" si="52"/>
        <v>3709599.9099999997</v>
      </c>
      <c r="AH84" s="146">
        <f t="shared" si="53"/>
        <v>3685957.8699999996</v>
      </c>
      <c r="AI84" s="181">
        <f t="shared" si="54"/>
        <v>1269489.8799999997</v>
      </c>
      <c r="AJ84" s="182">
        <f t="shared" si="29"/>
        <v>1.1218221824762817</v>
      </c>
      <c r="AK84" s="183">
        <f t="shared" si="30"/>
        <v>4664385.88</v>
      </c>
      <c r="AL84" s="8">
        <f t="shared" si="31"/>
        <v>6927649.8799999999</v>
      </c>
      <c r="AM84" s="23"/>
      <c r="AN84" s="24"/>
      <c r="AO84" s="104"/>
      <c r="AP84" s="265"/>
      <c r="AQ84" s="278"/>
      <c r="AR84" s="23"/>
      <c r="AS84" s="24"/>
      <c r="AT84" s="104"/>
      <c r="AU84" s="265"/>
      <c r="AV84" s="278"/>
      <c r="AW84" s="34"/>
      <c r="AX84" s="35"/>
      <c r="AY84" s="104"/>
      <c r="AZ84" s="265"/>
      <c r="BA84" s="278"/>
      <c r="BB84" s="34"/>
      <c r="BC84" s="35"/>
      <c r="BD84" s="25"/>
      <c r="BE84" s="265"/>
      <c r="BF84" s="278"/>
      <c r="BG84" s="23"/>
      <c r="BH84" s="24"/>
      <c r="BI84" s="25"/>
      <c r="BJ84" s="265"/>
      <c r="BK84" s="278"/>
      <c r="BL84" s="34"/>
      <c r="BM84" s="94"/>
      <c r="BN84" s="104"/>
      <c r="BO84" s="265"/>
      <c r="BP84" s="278"/>
      <c r="BQ84" s="34"/>
      <c r="BR84" s="35"/>
      <c r="BS84" s="99"/>
      <c r="BT84" s="263"/>
      <c r="BU84" s="278"/>
      <c r="BV84" s="23"/>
      <c r="BW84" s="24"/>
      <c r="BX84" s="104"/>
      <c r="BY84" s="263"/>
      <c r="BZ84" s="278"/>
      <c r="CA84" s="34">
        <f>2076959.01+1697544.88</f>
        <v>3774503.8899999997</v>
      </c>
      <c r="CB84" s="35">
        <v>339508.98</v>
      </c>
      <c r="CC84" s="99">
        <v>2076959.01</v>
      </c>
      <c r="CD84" s="265"/>
      <c r="CE84" s="278"/>
      <c r="CF84" s="23"/>
      <c r="CG84" s="24"/>
      <c r="CH84" s="104"/>
      <c r="CI84" s="265"/>
      <c r="CJ84" s="278"/>
      <c r="CK84" s="23"/>
      <c r="CL84" s="24"/>
      <c r="CM84" s="104"/>
      <c r="CN84" s="265"/>
      <c r="CO84" s="278"/>
      <c r="CP84" s="23"/>
      <c r="CQ84" s="171"/>
      <c r="CR84" s="104"/>
      <c r="CS84" s="263"/>
      <c r="CT84" s="278"/>
      <c r="CU84" s="430"/>
      <c r="CV84" s="431"/>
      <c r="CW84" s="431"/>
      <c r="CX84" s="432"/>
      <c r="CY84" s="23"/>
      <c r="CZ84" s="171"/>
      <c r="DA84" s="171"/>
      <c r="DB84" s="172"/>
      <c r="DC84" s="433"/>
      <c r="DD84" s="65"/>
      <c r="DE84" s="65"/>
      <c r="DF84" s="434"/>
    </row>
    <row r="85" spans="1:110" x14ac:dyDescent="0.25">
      <c r="A85" s="9" t="s">
        <v>86</v>
      </c>
      <c r="B85" s="17">
        <v>80</v>
      </c>
      <c r="C85" s="457">
        <v>984578</v>
      </c>
      <c r="D85" s="84">
        <f>'Qrtrly Cash Balances'!C82</f>
        <v>709621.4</v>
      </c>
      <c r="E85" s="33">
        <f>RUTF!$D83</f>
        <v>299236.7</v>
      </c>
      <c r="F85" s="402">
        <f>RUTF!$E83</f>
        <v>328223.15000000002</v>
      </c>
      <c r="G85" s="160">
        <f>RUTF!$F83</f>
        <v>0</v>
      </c>
      <c r="H85" s="159">
        <f>RUTF!$G83</f>
        <v>0</v>
      </c>
      <c r="I85" s="160">
        <f>Federal!$F82+Federal!$J82+Federal!$N82+Federal!$R82</f>
        <v>534015.17000000004</v>
      </c>
      <c r="J85" s="159">
        <f>'Co Contrib'!C82+'Co Contrib'!D82+'Co Contrib'!E82+'Co Contrib'!F82+'Other Rev'!E82+'Other Rev'!H82+'Other Rev'!K82+'Other Rev'!N82</f>
        <v>0</v>
      </c>
      <c r="K85" s="151">
        <f>-1*(Expenditures!H82+Expenditures!N82+Expenditures!T82+Expenditures!Z82)</f>
        <v>-534015.17000000004</v>
      </c>
      <c r="L85" s="56">
        <f>'Qrtrly Obligations'!U81</f>
        <v>-60199.05</v>
      </c>
      <c r="M85" s="249">
        <f t="shared" si="32"/>
        <v>0</v>
      </c>
      <c r="N85" s="250">
        <f t="shared" si="33"/>
        <v>0</v>
      </c>
      <c r="O85" s="253">
        <f t="shared" si="34"/>
        <v>0</v>
      </c>
      <c r="P85" s="256">
        <f t="shared" si="35"/>
        <v>0</v>
      </c>
      <c r="Q85" s="249">
        <f t="shared" si="36"/>
        <v>0</v>
      </c>
      <c r="R85" s="250">
        <f t="shared" si="37"/>
        <v>0</v>
      </c>
      <c r="S85" s="253">
        <f t="shared" si="38"/>
        <v>0</v>
      </c>
      <c r="T85" s="256">
        <f t="shared" si="39"/>
        <v>0</v>
      </c>
      <c r="U85" s="249">
        <f t="shared" si="40"/>
        <v>0</v>
      </c>
      <c r="V85" s="250">
        <f t="shared" si="41"/>
        <v>0</v>
      </c>
      <c r="W85" s="253">
        <f t="shared" si="42"/>
        <v>0</v>
      </c>
      <c r="X85" s="256">
        <f t="shared" si="43"/>
        <v>0</v>
      </c>
      <c r="Y85" s="249">
        <f t="shared" si="44"/>
        <v>0</v>
      </c>
      <c r="Z85" s="250">
        <f t="shared" si="45"/>
        <v>0</v>
      </c>
      <c r="AA85" s="253">
        <f t="shared" si="46"/>
        <v>0</v>
      </c>
      <c r="AB85" s="256">
        <f t="shared" si="47"/>
        <v>0</v>
      </c>
      <c r="AC85" s="249">
        <f t="shared" si="48"/>
        <v>0</v>
      </c>
      <c r="AD85" s="250">
        <f t="shared" si="49"/>
        <v>0</v>
      </c>
      <c r="AE85" s="253">
        <f t="shared" si="50"/>
        <v>0</v>
      </c>
      <c r="AF85" s="256">
        <f t="shared" si="51"/>
        <v>0</v>
      </c>
      <c r="AG85" s="84">
        <f t="shared" si="52"/>
        <v>1337081.25</v>
      </c>
      <c r="AH85" s="147">
        <f t="shared" si="53"/>
        <v>1276882.2</v>
      </c>
      <c r="AI85" s="184">
        <f t="shared" si="54"/>
        <v>1276882.2</v>
      </c>
      <c r="AJ85" s="185">
        <f t="shared" si="29"/>
        <v>1.2968827253909796</v>
      </c>
      <c r="AK85" s="183">
        <f t="shared" si="30"/>
        <v>4230616.2</v>
      </c>
      <c r="AL85" s="19">
        <f t="shared" si="31"/>
        <v>6199772.2000000002</v>
      </c>
      <c r="AM85" s="37"/>
      <c r="AN85" s="33"/>
      <c r="AO85" s="269"/>
      <c r="AP85" s="267"/>
      <c r="AQ85" s="174"/>
      <c r="AR85" s="26"/>
      <c r="AS85" s="27"/>
      <c r="AT85" s="269"/>
      <c r="AU85" s="267"/>
      <c r="AV85" s="174"/>
      <c r="AW85" s="26"/>
      <c r="AX85" s="27"/>
      <c r="AY85" s="269"/>
      <c r="AZ85" s="267"/>
      <c r="BA85" s="174"/>
      <c r="BB85" s="26"/>
      <c r="BC85" s="27"/>
      <c r="BD85" s="28"/>
      <c r="BE85" s="267"/>
      <c r="BF85" s="174"/>
      <c r="BG85" s="26"/>
      <c r="BH85" s="27"/>
      <c r="BI85" s="28"/>
      <c r="BJ85" s="267"/>
      <c r="BK85" s="174"/>
      <c r="BL85" s="26"/>
      <c r="BM85" s="173"/>
      <c r="BN85" s="269"/>
      <c r="BO85" s="267"/>
      <c r="BP85" s="174"/>
      <c r="BQ85" s="37"/>
      <c r="BR85" s="33"/>
      <c r="BS85" s="260"/>
      <c r="BT85" s="264"/>
      <c r="BU85" s="174"/>
      <c r="BV85" s="26"/>
      <c r="BW85" s="27"/>
      <c r="BX85" s="269"/>
      <c r="BY85" s="264"/>
      <c r="BZ85" s="174"/>
      <c r="CA85" s="26"/>
      <c r="CB85" s="27"/>
      <c r="CC85" s="269"/>
      <c r="CD85" s="267"/>
      <c r="CE85" s="174"/>
      <c r="CF85" s="37"/>
      <c r="CG85" s="33"/>
      <c r="CH85" s="269"/>
      <c r="CI85" s="267"/>
      <c r="CJ85" s="174"/>
      <c r="CK85" s="26"/>
      <c r="CL85" s="27"/>
      <c r="CM85" s="269"/>
      <c r="CN85" s="267"/>
      <c r="CO85" s="174"/>
      <c r="CP85" s="26"/>
      <c r="CQ85" s="173"/>
      <c r="CR85" s="269"/>
      <c r="CS85" s="264"/>
      <c r="CT85" s="174"/>
      <c r="CU85" s="437"/>
      <c r="CV85" s="438"/>
      <c r="CW85" s="438"/>
      <c r="CX85" s="439"/>
      <c r="CY85" s="26"/>
      <c r="CZ85" s="173"/>
      <c r="DA85" s="173"/>
      <c r="DB85" s="174"/>
      <c r="DC85" s="433"/>
      <c r="DD85" s="65"/>
      <c r="DE85" s="65"/>
      <c r="DF85" s="434"/>
    </row>
    <row r="86" spans="1:110" x14ac:dyDescent="0.25">
      <c r="A86" s="5" t="s">
        <v>87</v>
      </c>
      <c r="B86" s="6">
        <v>81</v>
      </c>
      <c r="C86" s="456">
        <v>1189553</v>
      </c>
      <c r="D86" s="83">
        <f>'Qrtrly Cash Balances'!C83</f>
        <v>3661975.23</v>
      </c>
      <c r="E86" s="35">
        <f>RUTF!$D84</f>
        <v>361533.39</v>
      </c>
      <c r="F86" s="401">
        <f>RUTF!$E84</f>
        <v>396554.39</v>
      </c>
      <c r="G86" s="406">
        <f>RUTF!$F84</f>
        <v>0</v>
      </c>
      <c r="H86" s="155">
        <f>RUTF!$G84</f>
        <v>0</v>
      </c>
      <c r="I86" s="156">
        <f>Federal!$F83+Federal!$J83+Federal!$N83+Federal!$R83</f>
        <v>0</v>
      </c>
      <c r="J86" s="155">
        <f>'Co Contrib'!C83+'Co Contrib'!D83+'Co Contrib'!E83+'Co Contrib'!F83+'Other Rev'!E83+'Other Rev'!H83+'Other Rev'!K83+'Other Rev'!N83</f>
        <v>0</v>
      </c>
      <c r="K86" s="149">
        <f>-1*(Expenditures!H83+Expenditures!N83+Expenditures!T83+Expenditures!Z83)</f>
        <v>-20039.98</v>
      </c>
      <c r="L86" s="74">
        <f>'Qrtrly Obligations'!U82</f>
        <v>-11194512.289999999</v>
      </c>
      <c r="M86" s="246">
        <f t="shared" si="32"/>
        <v>11141537.529999999</v>
      </c>
      <c r="N86" s="248">
        <f t="shared" si="33"/>
        <v>7141537.5300000003</v>
      </c>
      <c r="O86" s="54">
        <f t="shared" si="34"/>
        <v>0</v>
      </c>
      <c r="P86" s="255">
        <f t="shared" si="35"/>
        <v>562681.78</v>
      </c>
      <c r="Q86" s="246">
        <f t="shared" si="36"/>
        <v>0</v>
      </c>
      <c r="R86" s="248">
        <f t="shared" si="37"/>
        <v>0</v>
      </c>
      <c r="S86" s="54">
        <f t="shared" si="38"/>
        <v>0</v>
      </c>
      <c r="T86" s="255">
        <f t="shared" si="39"/>
        <v>0</v>
      </c>
      <c r="U86" s="246">
        <f t="shared" si="40"/>
        <v>11141537.529999999</v>
      </c>
      <c r="V86" s="248">
        <f t="shared" si="41"/>
        <v>7141537.5300000003</v>
      </c>
      <c r="W86" s="54">
        <f t="shared" si="42"/>
        <v>0</v>
      </c>
      <c r="X86" s="255">
        <f t="shared" si="43"/>
        <v>0</v>
      </c>
      <c r="Y86" s="246">
        <f t="shared" si="44"/>
        <v>0</v>
      </c>
      <c r="Z86" s="248">
        <f t="shared" si="45"/>
        <v>0</v>
      </c>
      <c r="AA86" s="54">
        <f t="shared" si="46"/>
        <v>0</v>
      </c>
      <c r="AB86" s="255">
        <f t="shared" si="47"/>
        <v>562681.78</v>
      </c>
      <c r="AC86" s="246">
        <f t="shared" si="48"/>
        <v>0</v>
      </c>
      <c r="AD86" s="248">
        <f t="shared" si="49"/>
        <v>0</v>
      </c>
      <c r="AE86" s="54">
        <f t="shared" si="50"/>
        <v>0</v>
      </c>
      <c r="AF86" s="255">
        <f t="shared" si="51"/>
        <v>0</v>
      </c>
      <c r="AG86" s="83">
        <f t="shared" si="52"/>
        <v>4400023.0299999993</v>
      </c>
      <c r="AH86" s="146">
        <f t="shared" si="53"/>
        <v>-6794489.2599999998</v>
      </c>
      <c r="AI86" s="181">
        <f t="shared" si="54"/>
        <v>-7357171.04</v>
      </c>
      <c r="AJ86" s="182">
        <f t="shared" si="29"/>
        <v>-6.1848198777187733</v>
      </c>
      <c r="AK86" s="186">
        <f t="shared" si="30"/>
        <v>-3788512.04</v>
      </c>
      <c r="AL86" s="8">
        <f t="shared" si="31"/>
        <v>-1409406.04</v>
      </c>
      <c r="AM86" s="23"/>
      <c r="AN86" s="24"/>
      <c r="AO86" s="104"/>
      <c r="AP86" s="265"/>
      <c r="AQ86" s="278"/>
      <c r="AR86" s="23"/>
      <c r="AS86" s="24"/>
      <c r="AT86" s="104"/>
      <c r="AU86" s="265"/>
      <c r="AV86" s="278"/>
      <c r="AW86" s="23"/>
      <c r="AX86" s="24"/>
      <c r="AY86" s="104"/>
      <c r="AZ86" s="265"/>
      <c r="BA86" s="278"/>
      <c r="BB86" s="23"/>
      <c r="BC86" s="24"/>
      <c r="BD86" s="25"/>
      <c r="BE86" s="265"/>
      <c r="BF86" s="278"/>
      <c r="BG86" s="476">
        <v>11141537.529999999</v>
      </c>
      <c r="BH86" s="475">
        <v>7141537.5300000003</v>
      </c>
      <c r="BI86" s="25"/>
      <c r="BJ86" s="265"/>
      <c r="BK86" s="278"/>
      <c r="BL86" s="23"/>
      <c r="BM86" s="93"/>
      <c r="BN86" s="104"/>
      <c r="BO86" s="265"/>
      <c r="BP86" s="278"/>
      <c r="BQ86" s="34"/>
      <c r="BR86" s="35"/>
      <c r="BS86" s="99"/>
      <c r="BT86" s="263"/>
      <c r="BU86" s="278"/>
      <c r="BV86" s="34"/>
      <c r="BW86" s="24"/>
      <c r="BX86" s="99"/>
      <c r="BY86" s="263"/>
      <c r="BZ86" s="278">
        <v>562681.78</v>
      </c>
      <c r="CA86" s="34"/>
      <c r="CB86" s="35"/>
      <c r="CC86" s="104"/>
      <c r="CD86" s="265"/>
      <c r="CE86" s="278"/>
      <c r="CF86" s="23"/>
      <c r="CG86" s="24"/>
      <c r="CH86" s="104"/>
      <c r="CI86" s="265"/>
      <c r="CJ86" s="278"/>
      <c r="CK86" s="23"/>
      <c r="CL86" s="24"/>
      <c r="CM86" s="104"/>
      <c r="CN86" s="265"/>
      <c r="CO86" s="278"/>
      <c r="CP86" s="23"/>
      <c r="CQ86" s="171"/>
      <c r="CR86" s="104"/>
      <c r="CS86" s="263"/>
      <c r="CT86" s="278"/>
      <c r="CU86" s="430"/>
      <c r="CV86" s="431"/>
      <c r="CW86" s="431"/>
      <c r="CX86" s="432"/>
      <c r="CY86" s="23"/>
      <c r="CZ86" s="171"/>
      <c r="DA86" s="171"/>
      <c r="DB86" s="172"/>
      <c r="DC86" s="472" t="s">
        <v>345</v>
      </c>
      <c r="DD86" s="65"/>
      <c r="DE86" s="65"/>
      <c r="DF86" s="434"/>
    </row>
    <row r="87" spans="1:110" x14ac:dyDescent="0.25">
      <c r="A87" s="5" t="s">
        <v>88</v>
      </c>
      <c r="B87" s="6">
        <v>82</v>
      </c>
      <c r="C87" s="456">
        <v>1483243</v>
      </c>
      <c r="D87" s="83">
        <f>'Qrtrly Cash Balances'!C84</f>
        <v>2794694.92</v>
      </c>
      <c r="E87" s="35">
        <f>RUTF!$D85</f>
        <v>450792.85</v>
      </c>
      <c r="F87" s="401">
        <f>RUTF!$E85</f>
        <v>494460.23</v>
      </c>
      <c r="G87" s="406">
        <f>RUTF!$F85</f>
        <v>0</v>
      </c>
      <c r="H87" s="155">
        <f>RUTF!$G85</f>
        <v>0</v>
      </c>
      <c r="I87" s="156">
        <f>Federal!$F84+Federal!$J84+Federal!$N84+Federal!$R84</f>
        <v>2886005.28</v>
      </c>
      <c r="J87" s="155">
        <f>'Co Contrib'!C84+'Co Contrib'!D84+'Co Contrib'!E84+'Co Contrib'!F84+'Other Rev'!E84+'Other Rev'!H84+'Other Rev'!K84+'Other Rev'!N84</f>
        <v>778.46</v>
      </c>
      <c r="K87" s="149">
        <f>-1*(Expenditures!H84+Expenditures!N84+Expenditures!T84+Expenditures!Z84)</f>
        <v>-3067079.2800000003</v>
      </c>
      <c r="L87" s="74">
        <f>'Qrtrly Obligations'!U83</f>
        <v>-4441514.58</v>
      </c>
      <c r="M87" s="246">
        <f t="shared" si="32"/>
        <v>4303309.01</v>
      </c>
      <c r="N87" s="248">
        <f t="shared" si="33"/>
        <v>0</v>
      </c>
      <c r="O87" s="54">
        <f t="shared" si="34"/>
        <v>4303309.01</v>
      </c>
      <c r="P87" s="255">
        <f t="shared" si="35"/>
        <v>0</v>
      </c>
      <c r="Q87" s="246">
        <f t="shared" si="36"/>
        <v>0</v>
      </c>
      <c r="R87" s="248">
        <f t="shared" si="37"/>
        <v>0</v>
      </c>
      <c r="S87" s="54">
        <f t="shared" si="38"/>
        <v>0</v>
      </c>
      <c r="T87" s="255">
        <f t="shared" si="39"/>
        <v>0</v>
      </c>
      <c r="U87" s="246">
        <f t="shared" si="40"/>
        <v>4303309.01</v>
      </c>
      <c r="V87" s="248">
        <f t="shared" si="41"/>
        <v>0</v>
      </c>
      <c r="W87" s="54">
        <f t="shared" si="42"/>
        <v>4303309.01</v>
      </c>
      <c r="X87" s="255">
        <f t="shared" si="43"/>
        <v>0</v>
      </c>
      <c r="Y87" s="246">
        <f t="shared" si="44"/>
        <v>0</v>
      </c>
      <c r="Z87" s="248">
        <f t="shared" si="45"/>
        <v>0</v>
      </c>
      <c r="AA87" s="54">
        <f t="shared" si="46"/>
        <v>0</v>
      </c>
      <c r="AB87" s="255">
        <f t="shared" si="47"/>
        <v>0</v>
      </c>
      <c r="AC87" s="246">
        <f t="shared" si="48"/>
        <v>0</v>
      </c>
      <c r="AD87" s="248">
        <f t="shared" si="49"/>
        <v>0</v>
      </c>
      <c r="AE87" s="54">
        <f t="shared" si="50"/>
        <v>0</v>
      </c>
      <c r="AF87" s="255">
        <f t="shared" si="51"/>
        <v>0</v>
      </c>
      <c r="AG87" s="83">
        <f t="shared" si="52"/>
        <v>3559652.459999999</v>
      </c>
      <c r="AH87" s="146">
        <f t="shared" si="53"/>
        <v>-881862.12000000104</v>
      </c>
      <c r="AI87" s="181">
        <f t="shared" si="54"/>
        <v>-881862.12000000104</v>
      </c>
      <c r="AJ87" s="182">
        <f t="shared" si="29"/>
        <v>-0.59454999619077997</v>
      </c>
      <c r="AK87" s="183">
        <f t="shared" si="30"/>
        <v>3567866.879999999</v>
      </c>
      <c r="AL87" s="8">
        <f t="shared" si="31"/>
        <v>6534352.879999999</v>
      </c>
      <c r="AM87" s="23"/>
      <c r="AN87" s="24"/>
      <c r="AO87" s="104"/>
      <c r="AP87" s="265"/>
      <c r="AQ87" s="278"/>
      <c r="AR87" s="23"/>
      <c r="AS87" s="24"/>
      <c r="AT87" s="104"/>
      <c r="AU87" s="265"/>
      <c r="AV87" s="278"/>
      <c r="AW87" s="23"/>
      <c r="AX87" s="24"/>
      <c r="AY87" s="104"/>
      <c r="AZ87" s="265"/>
      <c r="BA87" s="278"/>
      <c r="BB87" s="23"/>
      <c r="BC87" s="24"/>
      <c r="BD87" s="25"/>
      <c r="BE87" s="265"/>
      <c r="BF87" s="278"/>
      <c r="BG87" s="23">
        <f>2345355.13+1957953.88</f>
        <v>4303309.01</v>
      </c>
      <c r="BH87" s="24"/>
      <c r="BI87" s="25">
        <f>2345355.13+1957953.88</f>
        <v>4303309.01</v>
      </c>
      <c r="BJ87" s="265"/>
      <c r="BK87" s="278"/>
      <c r="BL87" s="23"/>
      <c r="BM87" s="93"/>
      <c r="BN87" s="104"/>
      <c r="BO87" s="265"/>
      <c r="BP87" s="278"/>
      <c r="BQ87" s="34"/>
      <c r="BR87" s="35"/>
      <c r="BS87" s="99"/>
      <c r="BT87" s="263"/>
      <c r="BU87" s="278"/>
      <c r="BV87" s="34"/>
      <c r="BW87" s="93"/>
      <c r="BX87" s="270"/>
      <c r="BY87" s="263"/>
      <c r="BZ87" s="278"/>
      <c r="CA87" s="23"/>
      <c r="CB87" s="24"/>
      <c r="CC87" s="104"/>
      <c r="CD87" s="265"/>
      <c r="CE87" s="278"/>
      <c r="CF87" s="34"/>
      <c r="CG87" s="35"/>
      <c r="CH87" s="104"/>
      <c r="CI87" s="265"/>
      <c r="CJ87" s="278"/>
      <c r="CK87" s="34"/>
      <c r="CL87" s="35"/>
      <c r="CM87" s="104"/>
      <c r="CN87" s="265"/>
      <c r="CO87" s="278"/>
      <c r="CP87" s="23"/>
      <c r="CQ87" s="171"/>
      <c r="CR87" s="104"/>
      <c r="CS87" s="263"/>
      <c r="CT87" s="278"/>
      <c r="CU87" s="430"/>
      <c r="CV87" s="431"/>
      <c r="CW87" s="431"/>
      <c r="CX87" s="432"/>
      <c r="CY87" s="23"/>
      <c r="CZ87" s="171"/>
      <c r="DA87" s="171"/>
      <c r="DB87" s="172"/>
      <c r="DC87" s="433"/>
      <c r="DD87" s="65"/>
      <c r="DE87" s="65"/>
      <c r="DF87" s="434"/>
    </row>
    <row r="88" spans="1:110" x14ac:dyDescent="0.25">
      <c r="A88" s="5" t="s">
        <v>89</v>
      </c>
      <c r="B88" s="6">
        <v>83</v>
      </c>
      <c r="C88" s="456">
        <v>1146007</v>
      </c>
      <c r="D88" s="83">
        <f>'Qrtrly Cash Balances'!C85</f>
        <v>791780.92</v>
      </c>
      <c r="E88" s="35">
        <f>RUTF!$D86</f>
        <v>348298.9</v>
      </c>
      <c r="F88" s="401">
        <f>RUTF!$E86</f>
        <v>382037.9</v>
      </c>
      <c r="G88" s="406">
        <f>RUTF!$F86</f>
        <v>0</v>
      </c>
      <c r="H88" s="155">
        <f>RUTF!$G86</f>
        <v>0</v>
      </c>
      <c r="I88" s="156">
        <f>Federal!$F85+Federal!$J85+Federal!$N85+Federal!$R85</f>
        <v>0</v>
      </c>
      <c r="J88" s="155">
        <f>'Co Contrib'!C85+'Co Contrib'!D85+'Co Contrib'!E85+'Co Contrib'!F85+'Other Rev'!E85+'Other Rev'!H85+'Other Rev'!K85+'Other Rev'!N85</f>
        <v>0</v>
      </c>
      <c r="K88" s="149">
        <f>-1*(Expenditures!H85+Expenditures!N85+Expenditures!T85+Expenditures!Z85)</f>
        <v>-261473.12</v>
      </c>
      <c r="L88" s="74">
        <f>'Qrtrly Obligations'!U84</f>
        <v>-603011.38</v>
      </c>
      <c r="M88" s="246">
        <f t="shared" si="32"/>
        <v>3736217.34</v>
      </c>
      <c r="N88" s="248">
        <f t="shared" si="33"/>
        <v>1936217.34</v>
      </c>
      <c r="O88" s="54">
        <f t="shared" si="34"/>
        <v>0</v>
      </c>
      <c r="P88" s="255">
        <f t="shared" si="35"/>
        <v>0</v>
      </c>
      <c r="Q88" s="246">
        <f t="shared" si="36"/>
        <v>0</v>
      </c>
      <c r="R88" s="248">
        <f t="shared" si="37"/>
        <v>0</v>
      </c>
      <c r="S88" s="54">
        <f t="shared" si="38"/>
        <v>0</v>
      </c>
      <c r="T88" s="255">
        <f t="shared" si="39"/>
        <v>0</v>
      </c>
      <c r="U88" s="246">
        <f t="shared" si="40"/>
        <v>0</v>
      </c>
      <c r="V88" s="248">
        <f t="shared" si="41"/>
        <v>0</v>
      </c>
      <c r="W88" s="54">
        <f t="shared" si="42"/>
        <v>0</v>
      </c>
      <c r="X88" s="255">
        <f t="shared" si="43"/>
        <v>0</v>
      </c>
      <c r="Y88" s="246">
        <f t="shared" si="44"/>
        <v>3736217.34</v>
      </c>
      <c r="Z88" s="248">
        <f t="shared" si="45"/>
        <v>1936217.34</v>
      </c>
      <c r="AA88" s="54">
        <f t="shared" si="46"/>
        <v>0</v>
      </c>
      <c r="AB88" s="255">
        <f t="shared" si="47"/>
        <v>0</v>
      </c>
      <c r="AC88" s="246">
        <f t="shared" si="48"/>
        <v>0</v>
      </c>
      <c r="AD88" s="248">
        <f t="shared" si="49"/>
        <v>0</v>
      </c>
      <c r="AE88" s="54">
        <f t="shared" si="50"/>
        <v>0</v>
      </c>
      <c r="AF88" s="255">
        <f t="shared" si="51"/>
        <v>0</v>
      </c>
      <c r="AG88" s="83">
        <f t="shared" si="52"/>
        <v>1260644.6000000001</v>
      </c>
      <c r="AH88" s="146">
        <f t="shared" si="53"/>
        <v>657633.22000000009</v>
      </c>
      <c r="AI88" s="181">
        <f t="shared" si="54"/>
        <v>-1278584.1200000001</v>
      </c>
      <c r="AJ88" s="182">
        <f t="shared" si="29"/>
        <v>-1.1156861345524069</v>
      </c>
      <c r="AK88" s="183">
        <f t="shared" si="30"/>
        <v>2159436.88</v>
      </c>
      <c r="AL88" s="8">
        <f t="shared" si="31"/>
        <v>4451450.8799999999</v>
      </c>
      <c r="AM88" s="23"/>
      <c r="AN88" s="24"/>
      <c r="AO88" s="104"/>
      <c r="AP88" s="265"/>
      <c r="AQ88" s="278"/>
      <c r="AR88" s="23"/>
      <c r="AS88" s="24"/>
      <c r="AT88" s="104"/>
      <c r="AU88" s="265"/>
      <c r="AV88" s="278"/>
      <c r="AW88" s="34"/>
      <c r="AX88" s="35"/>
      <c r="AY88" s="104"/>
      <c r="AZ88" s="265"/>
      <c r="BA88" s="278"/>
      <c r="BB88" s="34"/>
      <c r="BC88" s="35"/>
      <c r="BD88" s="25"/>
      <c r="BE88" s="265"/>
      <c r="BF88" s="278"/>
      <c r="BG88" s="34"/>
      <c r="BH88" s="35"/>
      <c r="BI88" s="25"/>
      <c r="BJ88" s="265"/>
      <c r="BK88" s="278"/>
      <c r="BL88" s="34"/>
      <c r="BM88" s="94"/>
      <c r="BN88" s="104"/>
      <c r="BO88" s="265"/>
      <c r="BP88" s="278"/>
      <c r="BQ88" s="34"/>
      <c r="BR88" s="35"/>
      <c r="BS88" s="99"/>
      <c r="BT88" s="263"/>
      <c r="BU88" s="278"/>
      <c r="BV88" s="34">
        <v>3736217.34</v>
      </c>
      <c r="BW88" s="24">
        <v>1936217.34</v>
      </c>
      <c r="BX88" s="99"/>
      <c r="BY88" s="263"/>
      <c r="BZ88" s="278"/>
      <c r="CA88" s="34"/>
      <c r="CB88" s="35"/>
      <c r="CC88" s="104"/>
      <c r="CD88" s="265"/>
      <c r="CE88" s="278"/>
      <c r="CF88" s="34"/>
      <c r="CG88" s="35"/>
      <c r="CH88" s="104"/>
      <c r="CI88" s="265"/>
      <c r="CJ88" s="278"/>
      <c r="CK88" s="23"/>
      <c r="CL88" s="24"/>
      <c r="CM88" s="104"/>
      <c r="CN88" s="265"/>
      <c r="CO88" s="278"/>
      <c r="CP88" s="34"/>
      <c r="CQ88" s="171"/>
      <c r="CR88" s="99"/>
      <c r="CS88" s="263"/>
      <c r="CT88" s="278"/>
      <c r="CU88" s="430"/>
      <c r="CV88" s="431"/>
      <c r="CW88" s="431"/>
      <c r="CX88" s="432"/>
      <c r="CY88" s="23"/>
      <c r="CZ88" s="171"/>
      <c r="DA88" s="171"/>
      <c r="DB88" s="172"/>
      <c r="DC88" s="433"/>
      <c r="DD88" s="65"/>
      <c r="DE88" s="65"/>
      <c r="DF88" s="434"/>
    </row>
    <row r="89" spans="1:110" x14ac:dyDescent="0.25">
      <c r="A89" s="5" t="s">
        <v>90</v>
      </c>
      <c r="B89" s="6">
        <v>84</v>
      </c>
      <c r="C89" s="456">
        <v>1880964</v>
      </c>
      <c r="D89" s="83">
        <f>'Qrtrly Cash Balances'!C86</f>
        <v>-1151840.55</v>
      </c>
      <c r="E89" s="35">
        <f>RUTF!$D87</f>
        <v>571669.81000000006</v>
      </c>
      <c r="F89" s="401">
        <f>RUTF!$E87</f>
        <v>627046.29</v>
      </c>
      <c r="G89" s="406">
        <f>RUTF!$F87</f>
        <v>0</v>
      </c>
      <c r="H89" s="155">
        <f>RUTF!$G87</f>
        <v>0</v>
      </c>
      <c r="I89" s="156">
        <f>Federal!$F86+Federal!$J86+Federal!$N86+Federal!$R86</f>
        <v>0</v>
      </c>
      <c r="J89" s="155">
        <f>'Co Contrib'!C86+'Co Contrib'!D86+'Co Contrib'!E86+'Co Contrib'!F86+'Other Rev'!E86+'Other Rev'!H86+'Other Rev'!K86+'Other Rev'!N86</f>
        <v>0</v>
      </c>
      <c r="K89" s="149">
        <f>-1*(Expenditures!H86+Expenditures!N86+Expenditures!T86+Expenditures!Z86)</f>
        <v>-3013654.61</v>
      </c>
      <c r="L89" s="74">
        <f>'Qrtrly Obligations'!U85</f>
        <v>-1072962.6000000001</v>
      </c>
      <c r="M89" s="246">
        <f t="shared" si="32"/>
        <v>2835316.25</v>
      </c>
      <c r="N89" s="248">
        <f t="shared" si="33"/>
        <v>0</v>
      </c>
      <c r="O89" s="54">
        <f t="shared" si="34"/>
        <v>2835316.25</v>
      </c>
      <c r="P89" s="255">
        <f t="shared" si="35"/>
        <v>0</v>
      </c>
      <c r="Q89" s="246">
        <f t="shared" si="36"/>
        <v>0</v>
      </c>
      <c r="R89" s="248">
        <f t="shared" si="37"/>
        <v>0</v>
      </c>
      <c r="S89" s="54">
        <f t="shared" si="38"/>
        <v>0</v>
      </c>
      <c r="T89" s="255">
        <f t="shared" si="39"/>
        <v>0</v>
      </c>
      <c r="U89" s="246">
        <f t="shared" si="40"/>
        <v>0</v>
      </c>
      <c r="V89" s="248">
        <f t="shared" si="41"/>
        <v>0</v>
      </c>
      <c r="W89" s="54">
        <f t="shared" si="42"/>
        <v>0</v>
      </c>
      <c r="X89" s="255">
        <f t="shared" si="43"/>
        <v>0</v>
      </c>
      <c r="Y89" s="246">
        <f t="shared" si="44"/>
        <v>2835316.25</v>
      </c>
      <c r="Z89" s="248">
        <f t="shared" si="45"/>
        <v>0</v>
      </c>
      <c r="AA89" s="54">
        <f t="shared" si="46"/>
        <v>2835316.25</v>
      </c>
      <c r="AB89" s="255">
        <f t="shared" si="47"/>
        <v>0</v>
      </c>
      <c r="AC89" s="246">
        <f t="shared" si="48"/>
        <v>0</v>
      </c>
      <c r="AD89" s="248">
        <f t="shared" si="49"/>
        <v>0</v>
      </c>
      <c r="AE89" s="54">
        <f t="shared" si="50"/>
        <v>0</v>
      </c>
      <c r="AF89" s="255">
        <f t="shared" si="51"/>
        <v>0</v>
      </c>
      <c r="AG89" s="83">
        <f t="shared" si="52"/>
        <v>-2966779.0599999996</v>
      </c>
      <c r="AH89" s="146">
        <f t="shared" si="53"/>
        <v>-4039741.6599999997</v>
      </c>
      <c r="AI89" s="181">
        <f t="shared" si="54"/>
        <v>-6875057.9100000001</v>
      </c>
      <c r="AJ89" s="182">
        <f t="shared" si="29"/>
        <v>-3.6550715005709837</v>
      </c>
      <c r="AK89" s="183">
        <f t="shared" si="30"/>
        <v>-1232165.9100000001</v>
      </c>
      <c r="AL89" s="8">
        <f t="shared" si="31"/>
        <v>2529762.09</v>
      </c>
      <c r="AM89" s="23"/>
      <c r="AN89" s="24"/>
      <c r="AO89" s="104"/>
      <c r="AP89" s="265"/>
      <c r="AQ89" s="278"/>
      <c r="AR89" s="23"/>
      <c r="AS89" s="24"/>
      <c r="AT89" s="104"/>
      <c r="AU89" s="265"/>
      <c r="AV89" s="278"/>
      <c r="AW89" s="23"/>
      <c r="AX89" s="24"/>
      <c r="AY89" s="104"/>
      <c r="AZ89" s="265"/>
      <c r="BA89" s="278"/>
      <c r="BB89" s="23"/>
      <c r="BC89" s="24"/>
      <c r="BD89" s="25"/>
      <c r="BE89" s="265"/>
      <c r="BF89" s="278"/>
      <c r="BG89" s="23"/>
      <c r="BH89" s="24"/>
      <c r="BI89" s="25"/>
      <c r="BJ89" s="265"/>
      <c r="BK89" s="278"/>
      <c r="BL89" s="34"/>
      <c r="BM89" s="94"/>
      <c r="BN89" s="104"/>
      <c r="BO89" s="265"/>
      <c r="BP89" s="278"/>
      <c r="BQ89" s="34"/>
      <c r="BR89" s="35"/>
      <c r="BS89" s="99"/>
      <c r="BT89" s="263"/>
      <c r="BU89" s="278"/>
      <c r="BV89" s="23">
        <f>1694840.62+1140475.63</f>
        <v>2835316.25</v>
      </c>
      <c r="BW89" s="24"/>
      <c r="BX89" s="104">
        <f>1694840.62+1140475.63</f>
        <v>2835316.25</v>
      </c>
      <c r="BY89" s="263"/>
      <c r="BZ89" s="278"/>
      <c r="CA89" s="34"/>
      <c r="CB89" s="35"/>
      <c r="CC89" s="99"/>
      <c r="CD89" s="265"/>
      <c r="CE89" s="278"/>
      <c r="CF89" s="34"/>
      <c r="CG89" s="35"/>
      <c r="CH89" s="104"/>
      <c r="CI89" s="265"/>
      <c r="CJ89" s="278"/>
      <c r="CK89" s="23"/>
      <c r="CL89" s="24"/>
      <c r="CM89" s="104"/>
      <c r="CN89" s="265"/>
      <c r="CO89" s="278"/>
      <c r="CP89" s="23"/>
      <c r="CQ89" s="171"/>
      <c r="CR89" s="104"/>
      <c r="CS89" s="263"/>
      <c r="CT89" s="278"/>
      <c r="CU89" s="430"/>
      <c r="CV89" s="431"/>
      <c r="CW89" s="431"/>
      <c r="CX89" s="432"/>
      <c r="CY89" s="23"/>
      <c r="CZ89" s="171"/>
      <c r="DA89" s="171"/>
      <c r="DB89" s="172"/>
      <c r="DC89" s="433"/>
      <c r="DD89" s="65"/>
      <c r="DE89" s="65"/>
      <c r="DF89" s="434"/>
    </row>
    <row r="90" spans="1:110" x14ac:dyDescent="0.25">
      <c r="A90" s="9" t="s">
        <v>91</v>
      </c>
      <c r="B90" s="17">
        <v>85</v>
      </c>
      <c r="C90" s="457">
        <v>1514734</v>
      </c>
      <c r="D90" s="84">
        <f>'Qrtrly Cash Balances'!C87</f>
        <v>4018711.62</v>
      </c>
      <c r="E90" s="33">
        <f>RUTF!$D88</f>
        <v>460363.84</v>
      </c>
      <c r="F90" s="402">
        <f>RUTF!$E88</f>
        <v>504958.35</v>
      </c>
      <c r="G90" s="160">
        <f>RUTF!$F88</f>
        <v>0</v>
      </c>
      <c r="H90" s="159">
        <f>RUTF!$G88</f>
        <v>0</v>
      </c>
      <c r="I90" s="160">
        <f>Federal!$F87+Federal!$J87+Federal!$N87+Federal!$R87</f>
        <v>1031348.97</v>
      </c>
      <c r="J90" s="159">
        <f>'Co Contrib'!C87+'Co Contrib'!D87+'Co Contrib'!E87+'Co Contrib'!F87+'Other Rev'!E87+'Other Rev'!H87+'Other Rev'!K87+'Other Rev'!N87</f>
        <v>0</v>
      </c>
      <c r="K90" s="151">
        <f>-1*(Expenditures!H87+Expenditures!N87+Expenditures!T87+Expenditures!Z87)</f>
        <v>-3482778.17</v>
      </c>
      <c r="L90" s="56">
        <f>'Qrtrly Obligations'!U86</f>
        <v>-877049.04</v>
      </c>
      <c r="M90" s="249">
        <f t="shared" si="32"/>
        <v>1571250.0599999998</v>
      </c>
      <c r="N90" s="250">
        <f t="shared" si="33"/>
        <v>145886.87</v>
      </c>
      <c r="O90" s="253">
        <f t="shared" si="34"/>
        <v>841815.73</v>
      </c>
      <c r="P90" s="256">
        <f t="shared" si="35"/>
        <v>1748209.3499999999</v>
      </c>
      <c r="Q90" s="249">
        <f t="shared" si="36"/>
        <v>219553.4</v>
      </c>
      <c r="R90" s="250">
        <f t="shared" si="37"/>
        <v>0</v>
      </c>
      <c r="S90" s="253">
        <f t="shared" si="38"/>
        <v>219553.4</v>
      </c>
      <c r="T90" s="256">
        <f t="shared" si="39"/>
        <v>0</v>
      </c>
      <c r="U90" s="249">
        <f t="shared" si="40"/>
        <v>0</v>
      </c>
      <c r="V90" s="250">
        <f t="shared" si="41"/>
        <v>0</v>
      </c>
      <c r="W90" s="253">
        <f t="shared" si="42"/>
        <v>0</v>
      </c>
      <c r="X90" s="256">
        <f t="shared" si="43"/>
        <v>514450.7</v>
      </c>
      <c r="Y90" s="249">
        <f t="shared" si="44"/>
        <v>1351696.66</v>
      </c>
      <c r="Z90" s="250">
        <f t="shared" si="45"/>
        <v>145886.87</v>
      </c>
      <c r="AA90" s="253">
        <f t="shared" si="46"/>
        <v>622262.32999999996</v>
      </c>
      <c r="AB90" s="256">
        <f t="shared" si="47"/>
        <v>1233758.6499999999</v>
      </c>
      <c r="AC90" s="249">
        <f t="shared" si="48"/>
        <v>0</v>
      </c>
      <c r="AD90" s="250">
        <f t="shared" si="49"/>
        <v>0</v>
      </c>
      <c r="AE90" s="253">
        <f t="shared" si="50"/>
        <v>0</v>
      </c>
      <c r="AF90" s="256">
        <f t="shared" si="51"/>
        <v>0</v>
      </c>
      <c r="AG90" s="84">
        <f t="shared" si="52"/>
        <v>2532604.6099999994</v>
      </c>
      <c r="AH90" s="147">
        <f t="shared" si="53"/>
        <v>1655555.5699999994</v>
      </c>
      <c r="AI90" s="184">
        <f t="shared" si="54"/>
        <v>-346352.28000000061</v>
      </c>
      <c r="AJ90" s="185">
        <f t="shared" si="29"/>
        <v>-0.22865551311319388</v>
      </c>
      <c r="AK90" s="183">
        <f t="shared" si="30"/>
        <v>4197849.72</v>
      </c>
      <c r="AL90" s="19">
        <f t="shared" si="31"/>
        <v>7227317.7199999997</v>
      </c>
      <c r="AM90" s="26">
        <v>219553.4</v>
      </c>
      <c r="AN90" s="27"/>
      <c r="AO90" s="269">
        <v>219553.4</v>
      </c>
      <c r="AP90" s="267"/>
      <c r="AQ90" s="174"/>
      <c r="AR90" s="26"/>
      <c r="AS90" s="27"/>
      <c r="AT90" s="269"/>
      <c r="AU90" s="267"/>
      <c r="AV90" s="174"/>
      <c r="AW90" s="26"/>
      <c r="AX90" s="27"/>
      <c r="AY90" s="269"/>
      <c r="AZ90" s="267"/>
      <c r="BA90" s="174"/>
      <c r="BB90" s="26"/>
      <c r="BC90" s="27"/>
      <c r="BD90" s="28"/>
      <c r="BE90" s="267"/>
      <c r="BF90" s="174"/>
      <c r="BG90" s="37"/>
      <c r="BH90" s="33"/>
      <c r="BI90" s="28"/>
      <c r="BJ90" s="267"/>
      <c r="BK90" s="174">
        <v>514450.7</v>
      </c>
      <c r="BL90" s="37"/>
      <c r="BM90" s="365"/>
      <c r="BN90" s="269"/>
      <c r="BO90" s="267"/>
      <c r="BP90" s="174"/>
      <c r="BQ90" s="37"/>
      <c r="BR90" s="33"/>
      <c r="BS90" s="260"/>
      <c r="BT90" s="264"/>
      <c r="BU90" s="174"/>
      <c r="BV90" s="37">
        <f>622262.33+729434.33</f>
        <v>1351696.66</v>
      </c>
      <c r="BW90" s="33">
        <v>145886.87</v>
      </c>
      <c r="BX90" s="273">
        <v>622262.32999999996</v>
      </c>
      <c r="BY90" s="264"/>
      <c r="BZ90" s="174"/>
      <c r="CA90" s="37"/>
      <c r="CB90" s="50"/>
      <c r="CC90" s="260"/>
      <c r="CD90" s="267"/>
      <c r="CE90" s="174">
        <v>1233758.6499999999</v>
      </c>
      <c r="CF90" s="26"/>
      <c r="CG90" s="27"/>
      <c r="CH90" s="269"/>
      <c r="CI90" s="267"/>
      <c r="CJ90" s="174"/>
      <c r="CK90" s="37"/>
      <c r="CL90" s="27"/>
      <c r="CM90" s="260"/>
      <c r="CN90" s="267"/>
      <c r="CO90" s="174"/>
      <c r="CP90" s="26"/>
      <c r="CQ90" s="173"/>
      <c r="CR90" s="269"/>
      <c r="CS90" s="264"/>
      <c r="CT90" s="174"/>
      <c r="CU90" s="437"/>
      <c r="CV90" s="438"/>
      <c r="CW90" s="438"/>
      <c r="CX90" s="439"/>
      <c r="CY90" s="26"/>
      <c r="CZ90" s="173"/>
      <c r="DA90" s="173"/>
      <c r="DB90" s="174"/>
      <c r="DC90" s="433"/>
      <c r="DD90" s="65"/>
      <c r="DE90" s="65"/>
      <c r="DF90" s="434"/>
    </row>
    <row r="91" spans="1:110" s="32" customFormat="1" x14ac:dyDescent="0.25">
      <c r="A91" s="5" t="s">
        <v>92</v>
      </c>
      <c r="B91" s="6">
        <v>86</v>
      </c>
      <c r="C91" s="456">
        <v>1483362</v>
      </c>
      <c r="D91" s="83">
        <f>'Qrtrly Cash Balances'!C88</f>
        <v>1602470.99</v>
      </c>
      <c r="E91" s="35">
        <f>RUTF!$D89</f>
        <v>450829.18</v>
      </c>
      <c r="F91" s="401">
        <f>RUTF!$E89</f>
        <v>494500.08</v>
      </c>
      <c r="G91" s="407">
        <f>RUTF!$F89</f>
        <v>0</v>
      </c>
      <c r="H91" s="157">
        <f>RUTF!$G89</f>
        <v>0</v>
      </c>
      <c r="I91" s="158">
        <f>Federal!$F88+Federal!$J88+Federal!$N88+Federal!$R88</f>
        <v>0</v>
      </c>
      <c r="J91" s="157">
        <f>'Co Contrib'!C88+'Co Contrib'!D88+'Co Contrib'!E88+'Co Contrib'!F88+'Other Rev'!E88+'Other Rev'!H88+'Other Rev'!K88+'Other Rev'!N88</f>
        <v>0</v>
      </c>
      <c r="K91" s="150">
        <f>-1*(Expenditures!H88+Expenditures!N88+Expenditures!T88+Expenditures!Z88)</f>
        <v>-852.91</v>
      </c>
      <c r="L91" s="74">
        <f>'Qrtrly Obligations'!U87</f>
        <v>0</v>
      </c>
      <c r="M91" s="246">
        <f t="shared" si="32"/>
        <v>0</v>
      </c>
      <c r="N91" s="248">
        <f t="shared" si="33"/>
        <v>0</v>
      </c>
      <c r="O91" s="54">
        <f t="shared" si="34"/>
        <v>0</v>
      </c>
      <c r="P91" s="255">
        <f t="shared" si="35"/>
        <v>905887.38</v>
      </c>
      <c r="Q91" s="246">
        <f t="shared" si="36"/>
        <v>0</v>
      </c>
      <c r="R91" s="248">
        <f t="shared" si="37"/>
        <v>0</v>
      </c>
      <c r="S91" s="54">
        <f t="shared" si="38"/>
        <v>0</v>
      </c>
      <c r="T91" s="255">
        <f t="shared" si="39"/>
        <v>0</v>
      </c>
      <c r="U91" s="246">
        <f t="shared" si="40"/>
        <v>0</v>
      </c>
      <c r="V91" s="248">
        <f t="shared" si="41"/>
        <v>0</v>
      </c>
      <c r="W91" s="54">
        <f t="shared" si="42"/>
        <v>0</v>
      </c>
      <c r="X91" s="255">
        <f t="shared" si="43"/>
        <v>0</v>
      </c>
      <c r="Y91" s="246">
        <f t="shared" si="44"/>
        <v>0</v>
      </c>
      <c r="Z91" s="248">
        <f t="shared" si="45"/>
        <v>0</v>
      </c>
      <c r="AA91" s="54">
        <f t="shared" si="46"/>
        <v>0</v>
      </c>
      <c r="AB91" s="255">
        <f t="shared" si="47"/>
        <v>905887.38</v>
      </c>
      <c r="AC91" s="246">
        <f t="shared" si="48"/>
        <v>0</v>
      </c>
      <c r="AD91" s="248">
        <f t="shared" si="49"/>
        <v>0</v>
      </c>
      <c r="AE91" s="54">
        <f t="shared" si="50"/>
        <v>0</v>
      </c>
      <c r="AF91" s="255">
        <f t="shared" si="51"/>
        <v>0</v>
      </c>
      <c r="AG91" s="83">
        <f t="shared" si="52"/>
        <v>2546947.34</v>
      </c>
      <c r="AH91" s="146">
        <f t="shared" si="53"/>
        <v>2546947.34</v>
      </c>
      <c r="AI91" s="181">
        <f t="shared" si="54"/>
        <v>1641059.96</v>
      </c>
      <c r="AJ91" s="182">
        <f t="shared" si="29"/>
        <v>1.1063111769075924</v>
      </c>
      <c r="AK91" s="186">
        <f t="shared" si="30"/>
        <v>6091145.96</v>
      </c>
      <c r="AL91" s="8">
        <f t="shared" si="31"/>
        <v>9057869.9600000009</v>
      </c>
      <c r="AM91" s="23"/>
      <c r="AN91" s="24"/>
      <c r="AO91" s="104"/>
      <c r="AP91" s="265"/>
      <c r="AQ91" s="278"/>
      <c r="AR91" s="23"/>
      <c r="AS91" s="24"/>
      <c r="AT91" s="104"/>
      <c r="AU91" s="265"/>
      <c r="AV91" s="278"/>
      <c r="AW91" s="23"/>
      <c r="AX91" s="24"/>
      <c r="AY91" s="104"/>
      <c r="AZ91" s="265"/>
      <c r="BA91" s="278"/>
      <c r="BB91" s="23"/>
      <c r="BC91" s="24"/>
      <c r="BD91" s="25"/>
      <c r="BE91" s="265"/>
      <c r="BF91" s="278"/>
      <c r="BG91" s="34"/>
      <c r="BH91" s="35"/>
      <c r="BI91" s="25"/>
      <c r="BJ91" s="265"/>
      <c r="BK91" s="278"/>
      <c r="BL91" s="23"/>
      <c r="BM91" s="93"/>
      <c r="BN91" s="104"/>
      <c r="BO91" s="265"/>
      <c r="BP91" s="278"/>
      <c r="BQ91" s="34"/>
      <c r="BR91" s="35"/>
      <c r="BS91" s="99"/>
      <c r="BT91" s="263"/>
      <c r="BU91" s="278"/>
      <c r="BV91" s="23"/>
      <c r="BW91" s="24"/>
      <c r="BX91" s="104"/>
      <c r="BY91" s="263"/>
      <c r="BZ91" s="278">
        <f>425894.18+479993.2</f>
        <v>905887.38</v>
      </c>
      <c r="CA91" s="34"/>
      <c r="CB91" s="35"/>
      <c r="CC91" s="104"/>
      <c r="CD91" s="265"/>
      <c r="CE91" s="278"/>
      <c r="CF91" s="34"/>
      <c r="CG91" s="35"/>
      <c r="CH91" s="99"/>
      <c r="CI91" s="265"/>
      <c r="CJ91" s="278"/>
      <c r="CK91" s="23"/>
      <c r="CL91" s="24"/>
      <c r="CM91" s="104"/>
      <c r="CN91" s="265"/>
      <c r="CO91" s="278"/>
      <c r="CP91" s="23"/>
      <c r="CQ91" s="171"/>
      <c r="CR91" s="104"/>
      <c r="CS91" s="263"/>
      <c r="CT91" s="278"/>
      <c r="CU91" s="430"/>
      <c r="CV91" s="431"/>
      <c r="CW91" s="431"/>
      <c r="CX91" s="432"/>
      <c r="CY91" s="23"/>
      <c r="CZ91" s="171"/>
      <c r="DA91" s="171"/>
      <c r="DB91" s="172"/>
      <c r="DC91" s="433"/>
      <c r="DD91" s="435"/>
      <c r="DE91" s="435"/>
      <c r="DF91" s="436"/>
    </row>
    <row r="92" spans="1:110" s="32" customFormat="1" x14ac:dyDescent="0.25">
      <c r="A92" s="5" t="s">
        <v>93</v>
      </c>
      <c r="B92" s="6">
        <v>87</v>
      </c>
      <c r="C92" s="456">
        <v>1024054</v>
      </c>
      <c r="D92" s="83">
        <f>'Qrtrly Cash Balances'!C89</f>
        <v>2453222.4500000002</v>
      </c>
      <c r="E92" s="35">
        <f>RUTF!$D90</f>
        <v>311234.40999999997</v>
      </c>
      <c r="F92" s="401">
        <f>RUTF!$E90</f>
        <v>341383.05</v>
      </c>
      <c r="G92" s="407">
        <f>RUTF!$F90</f>
        <v>0</v>
      </c>
      <c r="H92" s="157">
        <f>RUTF!$G90</f>
        <v>0</v>
      </c>
      <c r="I92" s="158">
        <f>Federal!$F89+Federal!$J89+Federal!$N89+Federal!$R89</f>
        <v>1189699.2</v>
      </c>
      <c r="J92" s="157">
        <f>'Co Contrib'!C89+'Co Contrib'!D89+'Co Contrib'!E89+'Co Contrib'!F89+'Other Rev'!E89+'Other Rev'!H89+'Other Rev'!K89+'Other Rev'!N89</f>
        <v>0</v>
      </c>
      <c r="K92" s="150">
        <f>-1*(Expenditures!H89+Expenditures!N89+Expenditures!T89+Expenditures!Z89)</f>
        <v>-2576694.71</v>
      </c>
      <c r="L92" s="74">
        <f>'Qrtrly Obligations'!U88</f>
        <v>-100989.1</v>
      </c>
      <c r="M92" s="246">
        <f t="shared" si="32"/>
        <v>0</v>
      </c>
      <c r="N92" s="248">
        <f t="shared" si="33"/>
        <v>0</v>
      </c>
      <c r="O92" s="54">
        <f t="shared" si="34"/>
        <v>0</v>
      </c>
      <c r="P92" s="255">
        <f t="shared" si="35"/>
        <v>0</v>
      </c>
      <c r="Q92" s="246">
        <f t="shared" si="36"/>
        <v>0</v>
      </c>
      <c r="R92" s="248">
        <f t="shared" si="37"/>
        <v>0</v>
      </c>
      <c r="S92" s="54">
        <f t="shared" si="38"/>
        <v>0</v>
      </c>
      <c r="T92" s="255">
        <f t="shared" si="39"/>
        <v>0</v>
      </c>
      <c r="U92" s="246">
        <f t="shared" si="40"/>
        <v>0</v>
      </c>
      <c r="V92" s="248">
        <f t="shared" si="41"/>
        <v>0</v>
      </c>
      <c r="W92" s="54">
        <f t="shared" si="42"/>
        <v>0</v>
      </c>
      <c r="X92" s="255">
        <f t="shared" si="43"/>
        <v>0</v>
      </c>
      <c r="Y92" s="246">
        <f t="shared" si="44"/>
        <v>0</v>
      </c>
      <c r="Z92" s="248">
        <f t="shared" si="45"/>
        <v>0</v>
      </c>
      <c r="AA92" s="54">
        <f t="shared" si="46"/>
        <v>0</v>
      </c>
      <c r="AB92" s="255">
        <f t="shared" si="47"/>
        <v>0</v>
      </c>
      <c r="AC92" s="246">
        <f t="shared" si="48"/>
        <v>0</v>
      </c>
      <c r="AD92" s="248">
        <f t="shared" si="49"/>
        <v>0</v>
      </c>
      <c r="AE92" s="54">
        <f t="shared" si="50"/>
        <v>0</v>
      </c>
      <c r="AF92" s="255">
        <f t="shared" si="51"/>
        <v>0</v>
      </c>
      <c r="AG92" s="83">
        <f t="shared" si="52"/>
        <v>1718844.4000000004</v>
      </c>
      <c r="AH92" s="146">
        <f t="shared" si="53"/>
        <v>1617855.3000000003</v>
      </c>
      <c r="AI92" s="181">
        <f t="shared" si="54"/>
        <v>1617855.3000000003</v>
      </c>
      <c r="AJ92" s="182">
        <f t="shared" si="29"/>
        <v>1.5798535038191348</v>
      </c>
      <c r="AK92" s="183">
        <f t="shared" si="30"/>
        <v>4690017.3000000007</v>
      </c>
      <c r="AL92" s="8">
        <f t="shared" si="31"/>
        <v>6738125.3000000007</v>
      </c>
      <c r="AM92" s="23"/>
      <c r="AN92" s="24"/>
      <c r="AO92" s="104"/>
      <c r="AP92" s="265"/>
      <c r="AQ92" s="278"/>
      <c r="AR92" s="23"/>
      <c r="AS92" s="24"/>
      <c r="AT92" s="104"/>
      <c r="AU92" s="265"/>
      <c r="AV92" s="278"/>
      <c r="AW92" s="23"/>
      <c r="AX92" s="24"/>
      <c r="AY92" s="104"/>
      <c r="AZ92" s="265"/>
      <c r="BA92" s="278"/>
      <c r="BB92" s="23"/>
      <c r="BC92" s="24"/>
      <c r="BD92" s="25"/>
      <c r="BE92" s="265"/>
      <c r="BF92" s="278"/>
      <c r="BG92" s="23"/>
      <c r="BH92" s="24"/>
      <c r="BI92" s="25"/>
      <c r="BJ92" s="265"/>
      <c r="BK92" s="278"/>
      <c r="BL92" s="23"/>
      <c r="BM92" s="93"/>
      <c r="BN92" s="104"/>
      <c r="BO92" s="265"/>
      <c r="BP92" s="278"/>
      <c r="BQ92" s="34"/>
      <c r="BR92" s="35"/>
      <c r="BS92" s="99"/>
      <c r="BT92" s="263"/>
      <c r="BU92" s="278"/>
      <c r="BV92" s="23"/>
      <c r="BW92" s="24"/>
      <c r="BX92" s="104"/>
      <c r="BY92" s="263"/>
      <c r="BZ92" s="278"/>
      <c r="CA92" s="23"/>
      <c r="CB92" s="24"/>
      <c r="CC92" s="104"/>
      <c r="CD92" s="265"/>
      <c r="CE92" s="278"/>
      <c r="CF92" s="23"/>
      <c r="CG92" s="24"/>
      <c r="CH92" s="104"/>
      <c r="CI92" s="265"/>
      <c r="CJ92" s="278"/>
      <c r="CK92" s="34"/>
      <c r="CL92" s="24"/>
      <c r="CM92" s="99"/>
      <c r="CN92" s="265"/>
      <c r="CO92" s="278"/>
      <c r="CP92" s="34"/>
      <c r="CQ92" s="171"/>
      <c r="CR92" s="99"/>
      <c r="CS92" s="263"/>
      <c r="CT92" s="278"/>
      <c r="CU92" s="430"/>
      <c r="CV92" s="431"/>
      <c r="CW92" s="431"/>
      <c r="CX92" s="432"/>
      <c r="CY92" s="23"/>
      <c r="CZ92" s="171"/>
      <c r="DA92" s="171"/>
      <c r="DB92" s="172"/>
      <c r="DC92" s="433"/>
      <c r="DD92" s="435"/>
      <c r="DE92" s="435"/>
      <c r="DF92" s="436"/>
    </row>
    <row r="93" spans="1:110" s="32" customFormat="1" x14ac:dyDescent="0.25">
      <c r="A93" s="5" t="s">
        <v>94</v>
      </c>
      <c r="B93" s="6">
        <v>88</v>
      </c>
      <c r="C93" s="456">
        <v>852954</v>
      </c>
      <c r="D93" s="83">
        <f>'Qrtrly Cash Balances'!C90</f>
        <v>2556288.23</v>
      </c>
      <c r="E93" s="35">
        <f>RUTF!$D91</f>
        <v>259232.97</v>
      </c>
      <c r="F93" s="401">
        <f>RUTF!$E91</f>
        <v>284344.34000000003</v>
      </c>
      <c r="G93" s="407">
        <f>RUTF!$F91</f>
        <v>0</v>
      </c>
      <c r="H93" s="157">
        <f>RUTF!$G91</f>
        <v>0</v>
      </c>
      <c r="I93" s="158">
        <f>Federal!$F90+Federal!$J90+Federal!$N90+Federal!$R90</f>
        <v>0</v>
      </c>
      <c r="J93" s="157">
        <f>'Co Contrib'!C90+'Co Contrib'!D90+'Co Contrib'!E90+'Co Contrib'!F90+'Other Rev'!E90+'Other Rev'!H90+'Other Rev'!K90+'Other Rev'!N90</f>
        <v>0</v>
      </c>
      <c r="K93" s="150">
        <f>-1*(Expenditures!H90+Expenditures!N90+Expenditures!T90+Expenditures!Z90)</f>
        <v>-86505.84</v>
      </c>
      <c r="L93" s="74">
        <f>'Qrtrly Obligations'!U89</f>
        <v>-542984.5</v>
      </c>
      <c r="M93" s="246">
        <f t="shared" si="32"/>
        <v>525068</v>
      </c>
      <c r="N93" s="248">
        <f t="shared" si="33"/>
        <v>0</v>
      </c>
      <c r="O93" s="54">
        <f t="shared" si="34"/>
        <v>525068</v>
      </c>
      <c r="P93" s="255">
        <f t="shared" si="35"/>
        <v>0</v>
      </c>
      <c r="Q93" s="246">
        <f t="shared" si="36"/>
        <v>49730</v>
      </c>
      <c r="R93" s="248">
        <f t="shared" si="37"/>
        <v>0</v>
      </c>
      <c r="S93" s="54">
        <f t="shared" si="38"/>
        <v>49730</v>
      </c>
      <c r="T93" s="255">
        <f t="shared" si="39"/>
        <v>0</v>
      </c>
      <c r="U93" s="246">
        <f t="shared" si="40"/>
        <v>475338</v>
      </c>
      <c r="V93" s="248">
        <f t="shared" si="41"/>
        <v>0</v>
      </c>
      <c r="W93" s="54">
        <f t="shared" si="42"/>
        <v>475338</v>
      </c>
      <c r="X93" s="255">
        <f t="shared" si="43"/>
        <v>0</v>
      </c>
      <c r="Y93" s="246">
        <f t="shared" si="44"/>
        <v>0</v>
      </c>
      <c r="Z93" s="248">
        <f t="shared" si="45"/>
        <v>0</v>
      </c>
      <c r="AA93" s="54">
        <f t="shared" si="46"/>
        <v>0</v>
      </c>
      <c r="AB93" s="255">
        <f t="shared" si="47"/>
        <v>0</v>
      </c>
      <c r="AC93" s="246">
        <f t="shared" si="48"/>
        <v>0</v>
      </c>
      <c r="AD93" s="248">
        <f t="shared" si="49"/>
        <v>0</v>
      </c>
      <c r="AE93" s="54">
        <f t="shared" si="50"/>
        <v>0</v>
      </c>
      <c r="AF93" s="255">
        <f t="shared" si="51"/>
        <v>0</v>
      </c>
      <c r="AG93" s="83">
        <f t="shared" si="52"/>
        <v>3013359.7</v>
      </c>
      <c r="AH93" s="146">
        <f t="shared" si="53"/>
        <v>2470375.2000000002</v>
      </c>
      <c r="AI93" s="181">
        <f t="shared" si="54"/>
        <v>2470375.2000000002</v>
      </c>
      <c r="AJ93" s="182">
        <f t="shared" si="29"/>
        <v>2.8962584148734871</v>
      </c>
      <c r="AK93" s="183">
        <f t="shared" si="30"/>
        <v>5029237.2</v>
      </c>
      <c r="AL93" s="8">
        <f t="shared" si="31"/>
        <v>6735145.2000000002</v>
      </c>
      <c r="AM93" s="34"/>
      <c r="AN93" s="35"/>
      <c r="AO93" s="104"/>
      <c r="AP93" s="265"/>
      <c r="AQ93" s="278"/>
      <c r="AR93" s="23"/>
      <c r="AS93" s="24"/>
      <c r="AT93" s="104"/>
      <c r="AU93" s="265"/>
      <c r="AV93" s="278"/>
      <c r="AW93" s="23"/>
      <c r="AX93" s="24"/>
      <c r="AY93" s="104"/>
      <c r="AZ93" s="265"/>
      <c r="BA93" s="278"/>
      <c r="BB93" s="23"/>
      <c r="BC93" s="24"/>
      <c r="BD93" s="25"/>
      <c r="BE93" s="265"/>
      <c r="BF93" s="278"/>
      <c r="BG93" s="23">
        <v>475338</v>
      </c>
      <c r="BH93" s="24"/>
      <c r="BI93" s="25">
        <v>475338</v>
      </c>
      <c r="BJ93" s="265"/>
      <c r="BK93" s="278"/>
      <c r="BL93" s="23"/>
      <c r="BM93" s="93"/>
      <c r="BN93" s="104"/>
      <c r="BO93" s="265"/>
      <c r="BP93" s="278"/>
      <c r="BQ93" s="34"/>
      <c r="BR93" s="35"/>
      <c r="BS93" s="99"/>
      <c r="BT93" s="263"/>
      <c r="BU93" s="278"/>
      <c r="BV93" s="34"/>
      <c r="BW93" s="24"/>
      <c r="BX93" s="99"/>
      <c r="BY93" s="263"/>
      <c r="BZ93" s="278"/>
      <c r="CA93" s="23"/>
      <c r="CB93" s="24"/>
      <c r="CC93" s="104"/>
      <c r="CD93" s="265"/>
      <c r="CE93" s="278"/>
      <c r="CF93" s="23"/>
      <c r="CG93" s="24"/>
      <c r="CH93" s="104"/>
      <c r="CI93" s="265"/>
      <c r="CJ93" s="278"/>
      <c r="CK93" s="23"/>
      <c r="CL93" s="24"/>
      <c r="CM93" s="104"/>
      <c r="CN93" s="265"/>
      <c r="CO93" s="278"/>
      <c r="CP93" s="23"/>
      <c r="CQ93" s="171"/>
      <c r="CR93" s="104"/>
      <c r="CS93" s="263"/>
      <c r="CT93" s="278"/>
      <c r="CU93" s="430"/>
      <c r="CV93" s="431"/>
      <c r="CW93" s="431"/>
      <c r="CX93" s="432"/>
      <c r="CY93" s="23">
        <f>19830+29900</f>
        <v>49730</v>
      </c>
      <c r="CZ93" s="171"/>
      <c r="DA93" s="171"/>
      <c r="DB93" s="172"/>
      <c r="DC93" s="469" t="s">
        <v>342</v>
      </c>
      <c r="DD93" s="435"/>
      <c r="DE93" s="435"/>
      <c r="DF93" s="436"/>
    </row>
    <row r="94" spans="1:110" x14ac:dyDescent="0.25">
      <c r="A94" s="5" t="s">
        <v>95</v>
      </c>
      <c r="B94" s="6">
        <v>89</v>
      </c>
      <c r="C94" s="456">
        <v>1024330</v>
      </c>
      <c r="D94" s="83">
        <f>'Qrtrly Cash Balances'!C91</f>
        <v>766680.47</v>
      </c>
      <c r="E94" s="35">
        <f>RUTF!$D92</f>
        <v>311318.18</v>
      </c>
      <c r="F94" s="401">
        <f>RUTF!$E92</f>
        <v>341474.94</v>
      </c>
      <c r="G94" s="406">
        <f>RUTF!$F92</f>
        <v>0</v>
      </c>
      <c r="H94" s="155">
        <f>RUTF!$G92</f>
        <v>0</v>
      </c>
      <c r="I94" s="156">
        <f>Federal!$F91+Federal!$J91+Federal!$N91+Federal!$R91</f>
        <v>42898.7</v>
      </c>
      <c r="J94" s="155">
        <f>'Co Contrib'!C91+'Co Contrib'!D91+'Co Contrib'!E91+'Co Contrib'!F91+'Other Rev'!E91+'Other Rev'!H91+'Other Rev'!K91+'Other Rev'!N91</f>
        <v>171.46</v>
      </c>
      <c r="K94" s="149">
        <f>-1*(Expenditures!H91+Expenditures!N91+Expenditures!T91+Expenditures!Z91)</f>
        <v>-107643.20999999999</v>
      </c>
      <c r="L94" s="74">
        <f>'Qrtrly Obligations'!U90</f>
        <v>0</v>
      </c>
      <c r="M94" s="246">
        <f t="shared" si="32"/>
        <v>0</v>
      </c>
      <c r="N94" s="248">
        <f t="shared" si="33"/>
        <v>0</v>
      </c>
      <c r="O94" s="54">
        <f t="shared" si="34"/>
        <v>0</v>
      </c>
      <c r="P94" s="255">
        <f t="shared" si="35"/>
        <v>0</v>
      </c>
      <c r="Q94" s="246">
        <f t="shared" si="36"/>
        <v>0</v>
      </c>
      <c r="R94" s="248">
        <f t="shared" si="37"/>
        <v>0</v>
      </c>
      <c r="S94" s="54">
        <f t="shared" si="38"/>
        <v>0</v>
      </c>
      <c r="T94" s="255">
        <f t="shared" si="39"/>
        <v>0</v>
      </c>
      <c r="U94" s="246">
        <f t="shared" si="40"/>
        <v>0</v>
      </c>
      <c r="V94" s="248">
        <f t="shared" si="41"/>
        <v>0</v>
      </c>
      <c r="W94" s="54">
        <f t="shared" si="42"/>
        <v>0</v>
      </c>
      <c r="X94" s="255">
        <f t="shared" si="43"/>
        <v>0</v>
      </c>
      <c r="Y94" s="246">
        <f t="shared" si="44"/>
        <v>0</v>
      </c>
      <c r="Z94" s="248">
        <f t="shared" si="45"/>
        <v>0</v>
      </c>
      <c r="AA94" s="54">
        <f t="shared" si="46"/>
        <v>0</v>
      </c>
      <c r="AB94" s="255">
        <f t="shared" si="47"/>
        <v>0</v>
      </c>
      <c r="AC94" s="246">
        <f t="shared" si="48"/>
        <v>0</v>
      </c>
      <c r="AD94" s="248">
        <f t="shared" si="49"/>
        <v>0</v>
      </c>
      <c r="AE94" s="54">
        <f t="shared" si="50"/>
        <v>0</v>
      </c>
      <c r="AF94" s="255">
        <f t="shared" si="51"/>
        <v>0</v>
      </c>
      <c r="AG94" s="83">
        <f t="shared" si="52"/>
        <v>1354900.5399999998</v>
      </c>
      <c r="AH94" s="146">
        <f t="shared" si="53"/>
        <v>1354900.5399999998</v>
      </c>
      <c r="AI94" s="181">
        <f t="shared" si="54"/>
        <v>1354900.5399999998</v>
      </c>
      <c r="AJ94" s="182">
        <f t="shared" si="29"/>
        <v>1.3227187917956125</v>
      </c>
      <c r="AK94" s="183">
        <f t="shared" si="30"/>
        <v>4427890.54</v>
      </c>
      <c r="AL94" s="8">
        <f t="shared" si="31"/>
        <v>6476550.54</v>
      </c>
      <c r="AM94" s="34"/>
      <c r="AN94" s="35"/>
      <c r="AO94" s="104"/>
      <c r="AP94" s="265"/>
      <c r="AQ94" s="278"/>
      <c r="AR94" s="23"/>
      <c r="AS94" s="24"/>
      <c r="AT94" s="104"/>
      <c r="AU94" s="265"/>
      <c r="AV94" s="278"/>
      <c r="AW94" s="23"/>
      <c r="AX94" s="24"/>
      <c r="AY94" s="104"/>
      <c r="AZ94" s="265"/>
      <c r="BA94" s="278"/>
      <c r="BB94" s="23"/>
      <c r="BC94" s="24"/>
      <c r="BD94" s="25"/>
      <c r="BE94" s="265"/>
      <c r="BF94" s="278"/>
      <c r="BG94" s="23"/>
      <c r="BH94" s="24"/>
      <c r="BI94" s="25"/>
      <c r="BJ94" s="265"/>
      <c r="BK94" s="278"/>
      <c r="BL94" s="23"/>
      <c r="BM94" s="93"/>
      <c r="BN94" s="104"/>
      <c r="BO94" s="265"/>
      <c r="BP94" s="278"/>
      <c r="BQ94" s="34"/>
      <c r="BR94" s="35"/>
      <c r="BS94" s="99"/>
      <c r="BT94" s="263"/>
      <c r="BU94" s="278"/>
      <c r="BV94" s="23"/>
      <c r="BW94" s="24"/>
      <c r="BX94" s="104"/>
      <c r="BY94" s="263"/>
      <c r="BZ94" s="278"/>
      <c r="CA94" s="23"/>
      <c r="CB94" s="24"/>
      <c r="CC94" s="104"/>
      <c r="CD94" s="265"/>
      <c r="CE94" s="278"/>
      <c r="CF94" s="23"/>
      <c r="CG94" s="24"/>
      <c r="CH94" s="104"/>
      <c r="CI94" s="265"/>
      <c r="CJ94" s="278"/>
      <c r="CK94" s="23"/>
      <c r="CL94" s="24"/>
      <c r="CM94" s="104"/>
      <c r="CN94" s="265"/>
      <c r="CO94" s="278"/>
      <c r="CP94" s="34"/>
      <c r="CQ94" s="171"/>
      <c r="CR94" s="104"/>
      <c r="CS94" s="263"/>
      <c r="CT94" s="278"/>
      <c r="CU94" s="430"/>
      <c r="CV94" s="431"/>
      <c r="CW94" s="431"/>
      <c r="CX94" s="432"/>
      <c r="CY94" s="23"/>
      <c r="CZ94" s="171"/>
      <c r="DA94" s="171"/>
      <c r="DB94" s="172"/>
      <c r="DC94" s="433"/>
      <c r="DD94" s="65"/>
      <c r="DE94" s="65"/>
      <c r="DF94" s="434"/>
    </row>
    <row r="95" spans="1:110" x14ac:dyDescent="0.25">
      <c r="A95" s="5" t="s">
        <v>96</v>
      </c>
      <c r="B95" s="6">
        <v>90</v>
      </c>
      <c r="C95" s="457">
        <v>1188294</v>
      </c>
      <c r="D95" s="84">
        <f>'Qrtrly Cash Balances'!C92</f>
        <v>929349.34</v>
      </c>
      <c r="E95" s="33">
        <f>RUTF!$D93</f>
        <v>361150.86</v>
      </c>
      <c r="F95" s="402">
        <f>RUTF!$E93</f>
        <v>396134.8</v>
      </c>
      <c r="G95" s="160">
        <f>RUTF!$F93</f>
        <v>0</v>
      </c>
      <c r="H95" s="159">
        <f>RUTF!$G93</f>
        <v>0</v>
      </c>
      <c r="I95" s="160">
        <f>Federal!$F92+Federal!$J92+Federal!$N92+Federal!$R92</f>
        <v>34508.74</v>
      </c>
      <c r="J95" s="159">
        <f>'Co Contrib'!C92+'Co Contrib'!D92+'Co Contrib'!E92+'Co Contrib'!F92+'Other Rev'!E92+'Other Rev'!H92+'Other Rev'!K92+'Other Rev'!N92</f>
        <v>0</v>
      </c>
      <c r="K95" s="151">
        <f>-1*(Expenditures!H92+Expenditures!N92+Expenditures!T92+Expenditures!Z92)</f>
        <v>-34508.74</v>
      </c>
      <c r="L95" s="56">
        <f>'Qrtrly Obligations'!U91</f>
        <v>-843984.82</v>
      </c>
      <c r="M95" s="249">
        <f t="shared" si="32"/>
        <v>0</v>
      </c>
      <c r="N95" s="250">
        <f t="shared" si="33"/>
        <v>0</v>
      </c>
      <c r="O95" s="253">
        <f t="shared" si="34"/>
        <v>0</v>
      </c>
      <c r="P95" s="256">
        <f t="shared" si="35"/>
        <v>0</v>
      </c>
      <c r="Q95" s="249">
        <f t="shared" si="36"/>
        <v>0</v>
      </c>
      <c r="R95" s="250">
        <f t="shared" si="37"/>
        <v>0</v>
      </c>
      <c r="S95" s="253">
        <f t="shared" si="38"/>
        <v>0</v>
      </c>
      <c r="T95" s="256">
        <f t="shared" si="39"/>
        <v>0</v>
      </c>
      <c r="U95" s="249">
        <f t="shared" si="40"/>
        <v>0</v>
      </c>
      <c r="V95" s="250">
        <f t="shared" si="41"/>
        <v>0</v>
      </c>
      <c r="W95" s="253">
        <f t="shared" si="42"/>
        <v>0</v>
      </c>
      <c r="X95" s="256">
        <f t="shared" si="43"/>
        <v>0</v>
      </c>
      <c r="Y95" s="249">
        <f t="shared" si="44"/>
        <v>0</v>
      </c>
      <c r="Z95" s="250">
        <f t="shared" si="45"/>
        <v>0</v>
      </c>
      <c r="AA95" s="253">
        <f t="shared" si="46"/>
        <v>0</v>
      </c>
      <c r="AB95" s="256">
        <f t="shared" si="47"/>
        <v>0</v>
      </c>
      <c r="AC95" s="249">
        <f t="shared" si="48"/>
        <v>0</v>
      </c>
      <c r="AD95" s="250">
        <f t="shared" si="49"/>
        <v>0</v>
      </c>
      <c r="AE95" s="253">
        <f t="shared" si="50"/>
        <v>0</v>
      </c>
      <c r="AF95" s="256">
        <f t="shared" si="51"/>
        <v>0</v>
      </c>
      <c r="AG95" s="84">
        <f t="shared" si="52"/>
        <v>1686635</v>
      </c>
      <c r="AH95" s="147">
        <f t="shared" si="53"/>
        <v>842650.18</v>
      </c>
      <c r="AI95" s="184">
        <f t="shared" si="54"/>
        <v>842650.18</v>
      </c>
      <c r="AJ95" s="185">
        <f t="shared" si="29"/>
        <v>0.7091260075368554</v>
      </c>
      <c r="AK95" s="183">
        <f t="shared" si="30"/>
        <v>4407532.18</v>
      </c>
      <c r="AL95" s="19">
        <f t="shared" si="31"/>
        <v>6784120.1799999997</v>
      </c>
      <c r="AM95" s="37"/>
      <c r="AN95" s="27"/>
      <c r="AO95" s="260"/>
      <c r="AP95" s="267"/>
      <c r="AQ95" s="174"/>
      <c r="AR95" s="26"/>
      <c r="AS95" s="27"/>
      <c r="AT95" s="269"/>
      <c r="AU95" s="267"/>
      <c r="AV95" s="174"/>
      <c r="AW95" s="26"/>
      <c r="AX95" s="27"/>
      <c r="AY95" s="269"/>
      <c r="AZ95" s="267"/>
      <c r="BA95" s="174"/>
      <c r="BB95" s="26"/>
      <c r="BC95" s="27"/>
      <c r="BD95" s="28"/>
      <c r="BE95" s="267"/>
      <c r="BF95" s="174"/>
      <c r="BG95" s="37"/>
      <c r="BH95" s="33"/>
      <c r="BI95" s="28"/>
      <c r="BJ95" s="267"/>
      <c r="BK95" s="174"/>
      <c r="BL95" s="37"/>
      <c r="BM95" s="365"/>
      <c r="BN95" s="269"/>
      <c r="BO95" s="267"/>
      <c r="BP95" s="174"/>
      <c r="BQ95" s="37"/>
      <c r="BR95" s="33"/>
      <c r="BS95" s="260"/>
      <c r="BT95" s="264"/>
      <c r="BU95" s="174"/>
      <c r="BV95" s="26"/>
      <c r="BW95" s="27"/>
      <c r="BX95" s="269"/>
      <c r="BY95" s="264"/>
      <c r="BZ95" s="174"/>
      <c r="CA95" s="26"/>
      <c r="CB95" s="27"/>
      <c r="CC95" s="269"/>
      <c r="CD95" s="267"/>
      <c r="CE95" s="174"/>
      <c r="CF95" s="26"/>
      <c r="CG95" s="27"/>
      <c r="CH95" s="269"/>
      <c r="CI95" s="267"/>
      <c r="CJ95" s="174"/>
      <c r="CK95" s="37"/>
      <c r="CL95" s="33"/>
      <c r="CM95" s="269"/>
      <c r="CN95" s="267"/>
      <c r="CO95" s="174"/>
      <c r="CP95" s="26"/>
      <c r="CQ95" s="173"/>
      <c r="CR95" s="269"/>
      <c r="CS95" s="264"/>
      <c r="CT95" s="174"/>
      <c r="CU95" s="437"/>
      <c r="CV95" s="438"/>
      <c r="CW95" s="438"/>
      <c r="CX95" s="439"/>
      <c r="CY95" s="26"/>
      <c r="CZ95" s="173"/>
      <c r="DA95" s="173"/>
      <c r="DB95" s="174"/>
      <c r="DC95" s="433"/>
      <c r="DD95" s="65"/>
      <c r="DE95" s="65"/>
      <c r="DF95" s="434"/>
    </row>
    <row r="96" spans="1:110" x14ac:dyDescent="0.25">
      <c r="A96" s="101" t="s">
        <v>97</v>
      </c>
      <c r="B96" s="102">
        <v>91</v>
      </c>
      <c r="C96" s="456">
        <v>1681314</v>
      </c>
      <c r="D96" s="83">
        <f>'Qrtrly Cash Balances'!C93</f>
        <v>666511.93999999994</v>
      </c>
      <c r="E96" s="35">
        <f>RUTF!$D94</f>
        <v>510991.35999999999</v>
      </c>
      <c r="F96" s="401">
        <f>RUTF!$E94</f>
        <v>560490.05000000005</v>
      </c>
      <c r="G96" s="406">
        <f>RUTF!$F94</f>
        <v>0</v>
      </c>
      <c r="H96" s="155">
        <f>RUTF!$G94</f>
        <v>0</v>
      </c>
      <c r="I96" s="156">
        <f>Federal!$F93+Federal!$J93+Federal!$N93+Federal!$R93</f>
        <v>0</v>
      </c>
      <c r="J96" s="155">
        <f>'Co Contrib'!C93+'Co Contrib'!D93+'Co Contrib'!E93+'Co Contrib'!F93+'Other Rev'!E93+'Other Rev'!H93+'Other Rev'!K93+'Other Rev'!N93</f>
        <v>126321.52</v>
      </c>
      <c r="K96" s="149">
        <f>-1*(Expenditures!H93+Expenditures!N93+Expenditures!T93+Expenditures!Z93)</f>
        <v>-43624.08</v>
      </c>
      <c r="L96" s="74">
        <f>'Qrtrly Obligations'!U92</f>
        <v>0</v>
      </c>
      <c r="M96" s="246">
        <f t="shared" si="32"/>
        <v>0</v>
      </c>
      <c r="N96" s="248">
        <f t="shared" si="33"/>
        <v>0</v>
      </c>
      <c r="O96" s="54">
        <f t="shared" si="34"/>
        <v>0</v>
      </c>
      <c r="P96" s="255">
        <f t="shared" si="35"/>
        <v>0</v>
      </c>
      <c r="Q96" s="246">
        <f t="shared" si="36"/>
        <v>0</v>
      </c>
      <c r="R96" s="248">
        <f t="shared" si="37"/>
        <v>0</v>
      </c>
      <c r="S96" s="54">
        <f t="shared" si="38"/>
        <v>0</v>
      </c>
      <c r="T96" s="255">
        <f t="shared" si="39"/>
        <v>0</v>
      </c>
      <c r="U96" s="246">
        <f t="shared" si="40"/>
        <v>0</v>
      </c>
      <c r="V96" s="248">
        <f t="shared" si="41"/>
        <v>0</v>
      </c>
      <c r="W96" s="54">
        <f t="shared" si="42"/>
        <v>0</v>
      </c>
      <c r="X96" s="255">
        <f t="shared" si="43"/>
        <v>0</v>
      </c>
      <c r="Y96" s="246">
        <f t="shared" si="44"/>
        <v>0</v>
      </c>
      <c r="Z96" s="248">
        <f t="shared" si="45"/>
        <v>0</v>
      </c>
      <c r="AA96" s="54">
        <f t="shared" si="46"/>
        <v>0</v>
      </c>
      <c r="AB96" s="255">
        <f t="shared" si="47"/>
        <v>0</v>
      </c>
      <c r="AC96" s="246">
        <f t="shared" si="48"/>
        <v>0</v>
      </c>
      <c r="AD96" s="248">
        <f t="shared" si="49"/>
        <v>0</v>
      </c>
      <c r="AE96" s="54">
        <f t="shared" si="50"/>
        <v>0</v>
      </c>
      <c r="AF96" s="255">
        <f t="shared" si="51"/>
        <v>0</v>
      </c>
      <c r="AG96" s="83">
        <f t="shared" si="52"/>
        <v>1820690.7899999998</v>
      </c>
      <c r="AH96" s="146">
        <f t="shared" si="53"/>
        <v>1820690.7899999998</v>
      </c>
      <c r="AI96" s="181">
        <f t="shared" si="54"/>
        <v>1820690.7899999998</v>
      </c>
      <c r="AJ96" s="182">
        <f t="shared" si="29"/>
        <v>1.0828975372833389</v>
      </c>
      <c r="AK96" s="186">
        <f t="shared" si="30"/>
        <v>6864632.79</v>
      </c>
      <c r="AL96" s="8">
        <f t="shared" si="31"/>
        <v>10227260.789999999</v>
      </c>
      <c r="AM96" s="23"/>
      <c r="AN96" s="96"/>
      <c r="AO96" s="271"/>
      <c r="AP96" s="265"/>
      <c r="AQ96" s="278"/>
      <c r="AR96" s="23"/>
      <c r="AS96" s="24"/>
      <c r="AT96" s="104"/>
      <c r="AU96" s="265"/>
      <c r="AV96" s="278"/>
      <c r="AW96" s="23"/>
      <c r="AX96" s="24"/>
      <c r="AY96" s="104"/>
      <c r="AZ96" s="265"/>
      <c r="BA96" s="278"/>
      <c r="BB96" s="23"/>
      <c r="BC96" s="24"/>
      <c r="BD96" s="25"/>
      <c r="BE96" s="265"/>
      <c r="BF96" s="278"/>
      <c r="BG96" s="23"/>
      <c r="BH96" s="24"/>
      <c r="BI96" s="25"/>
      <c r="BJ96" s="265"/>
      <c r="BK96" s="278"/>
      <c r="BL96" s="34"/>
      <c r="BM96" s="94"/>
      <c r="BN96" s="104"/>
      <c r="BO96" s="265"/>
      <c r="BP96" s="278"/>
      <c r="BQ96" s="34"/>
      <c r="BR96" s="35"/>
      <c r="BS96" s="99"/>
      <c r="BT96" s="263"/>
      <c r="BU96" s="278"/>
      <c r="BV96" s="23"/>
      <c r="BW96" s="24"/>
      <c r="BX96" s="104"/>
      <c r="BY96" s="263"/>
      <c r="BZ96" s="278"/>
      <c r="CA96" s="34"/>
      <c r="CB96" s="24"/>
      <c r="CC96" s="99"/>
      <c r="CD96" s="265"/>
      <c r="CE96" s="278"/>
      <c r="CF96" s="34"/>
      <c r="CG96" s="35"/>
      <c r="CH96" s="99"/>
      <c r="CI96" s="265"/>
      <c r="CJ96" s="278"/>
      <c r="CK96" s="34"/>
      <c r="CL96" s="94"/>
      <c r="CM96" s="270"/>
      <c r="CN96" s="265"/>
      <c r="CO96" s="278"/>
      <c r="CP96" s="23"/>
      <c r="CQ96" s="95"/>
      <c r="CR96" s="271"/>
      <c r="CS96" s="263"/>
      <c r="CT96" s="278"/>
      <c r="CU96" s="430"/>
      <c r="CV96" s="431"/>
      <c r="CW96" s="431"/>
      <c r="CX96" s="432"/>
      <c r="CY96" s="23"/>
      <c r="CZ96" s="171"/>
      <c r="DA96" s="171"/>
      <c r="DB96" s="172"/>
      <c r="DC96" s="433"/>
      <c r="DD96" s="65"/>
      <c r="DE96" s="65"/>
      <c r="DF96" s="434"/>
    </row>
    <row r="97" spans="1:110" x14ac:dyDescent="0.25">
      <c r="A97" s="5" t="s">
        <v>98</v>
      </c>
      <c r="B97" s="6">
        <v>92</v>
      </c>
      <c r="C97" s="456">
        <v>1441193</v>
      </c>
      <c r="D97" s="83">
        <f>'Qrtrly Cash Balances'!C94</f>
        <v>4527490.4400000004</v>
      </c>
      <c r="E97" s="35">
        <f>RUTF!$D95</f>
        <v>438012.86</v>
      </c>
      <c r="F97" s="401">
        <f>RUTF!$E95</f>
        <v>480442.27</v>
      </c>
      <c r="G97" s="406">
        <f>RUTF!$F95</f>
        <v>0</v>
      </c>
      <c r="H97" s="155">
        <f>RUTF!$G95</f>
        <v>0</v>
      </c>
      <c r="I97" s="156">
        <f>Federal!$F94+Federal!$J94+Federal!$N94+Federal!$R94</f>
        <v>0</v>
      </c>
      <c r="J97" s="155">
        <f>'Co Contrib'!C94+'Co Contrib'!D94+'Co Contrib'!E94+'Co Contrib'!F94+'Other Rev'!E94+'Other Rev'!H94+'Other Rev'!K94+'Other Rev'!N94</f>
        <v>216984.67</v>
      </c>
      <c r="K97" s="149">
        <f>-1*(Expenditures!H94+Expenditures!N94+Expenditures!T94+Expenditures!Z94)</f>
        <v>-2194190.21</v>
      </c>
      <c r="L97" s="74">
        <f>'Qrtrly Obligations'!U93</f>
        <v>-1235445.57</v>
      </c>
      <c r="M97" s="246">
        <f t="shared" si="32"/>
        <v>0</v>
      </c>
      <c r="N97" s="248">
        <f t="shared" si="33"/>
        <v>0</v>
      </c>
      <c r="O97" s="54">
        <f t="shared" si="34"/>
        <v>0</v>
      </c>
      <c r="P97" s="255">
        <f t="shared" si="35"/>
        <v>0</v>
      </c>
      <c r="Q97" s="246">
        <f t="shared" si="36"/>
        <v>0</v>
      </c>
      <c r="R97" s="248">
        <f t="shared" si="37"/>
        <v>0</v>
      </c>
      <c r="S97" s="54">
        <f t="shared" si="38"/>
        <v>0</v>
      </c>
      <c r="T97" s="255">
        <f t="shared" si="39"/>
        <v>0</v>
      </c>
      <c r="U97" s="246">
        <f t="shared" si="40"/>
        <v>0</v>
      </c>
      <c r="V97" s="248">
        <f t="shared" si="41"/>
        <v>0</v>
      </c>
      <c r="W97" s="54">
        <f t="shared" si="42"/>
        <v>0</v>
      </c>
      <c r="X97" s="255">
        <f t="shared" si="43"/>
        <v>0</v>
      </c>
      <c r="Y97" s="246">
        <f t="shared" si="44"/>
        <v>0</v>
      </c>
      <c r="Z97" s="248">
        <f t="shared" si="45"/>
        <v>0</v>
      </c>
      <c r="AA97" s="54">
        <f t="shared" si="46"/>
        <v>0</v>
      </c>
      <c r="AB97" s="255">
        <f t="shared" si="47"/>
        <v>0</v>
      </c>
      <c r="AC97" s="246">
        <f t="shared" si="48"/>
        <v>0</v>
      </c>
      <c r="AD97" s="248">
        <f t="shared" si="49"/>
        <v>0</v>
      </c>
      <c r="AE97" s="54">
        <f t="shared" si="50"/>
        <v>0</v>
      </c>
      <c r="AF97" s="255">
        <f t="shared" si="51"/>
        <v>0</v>
      </c>
      <c r="AG97" s="83">
        <f t="shared" si="52"/>
        <v>3468740.0300000003</v>
      </c>
      <c r="AH97" s="146">
        <f t="shared" si="53"/>
        <v>2233294.46</v>
      </c>
      <c r="AI97" s="181">
        <f t="shared" si="54"/>
        <v>2233294.46</v>
      </c>
      <c r="AJ97" s="182">
        <f t="shared" si="29"/>
        <v>1.5496151174755914</v>
      </c>
      <c r="AK97" s="183">
        <f t="shared" si="30"/>
        <v>6556873.46</v>
      </c>
      <c r="AL97" s="8">
        <f t="shared" si="31"/>
        <v>9439259.4600000009</v>
      </c>
      <c r="AM97" s="34"/>
      <c r="AN97" s="93"/>
      <c r="AO97" s="270"/>
      <c r="AP97" s="265"/>
      <c r="AQ97" s="278"/>
      <c r="AR97" s="23"/>
      <c r="AS97" s="24"/>
      <c r="AT97" s="104"/>
      <c r="AU97" s="265"/>
      <c r="AV97" s="278"/>
      <c r="AW97" s="23"/>
      <c r="AX97" s="24"/>
      <c r="AY97" s="104"/>
      <c r="AZ97" s="265"/>
      <c r="BA97" s="278"/>
      <c r="BB97" s="23"/>
      <c r="BC97" s="24"/>
      <c r="BD97" s="25"/>
      <c r="BE97" s="265"/>
      <c r="BF97" s="278"/>
      <c r="BG97" s="23"/>
      <c r="BH97" s="24"/>
      <c r="BI97" s="25"/>
      <c r="BJ97" s="265"/>
      <c r="BK97" s="278"/>
      <c r="BL97" s="34"/>
      <c r="BM97" s="94"/>
      <c r="BN97" s="104"/>
      <c r="BO97" s="265"/>
      <c r="BP97" s="278"/>
      <c r="BQ97" s="34"/>
      <c r="BR97" s="35"/>
      <c r="BS97" s="99"/>
      <c r="BT97" s="263"/>
      <c r="BU97" s="278"/>
      <c r="BV97" s="34"/>
      <c r="BW97" s="35"/>
      <c r="BX97" s="104"/>
      <c r="BY97" s="263"/>
      <c r="BZ97" s="278"/>
      <c r="CA97" s="23"/>
      <c r="CB97" s="24"/>
      <c r="CC97" s="104"/>
      <c r="CD97" s="265"/>
      <c r="CE97" s="278"/>
      <c r="CF97" s="23"/>
      <c r="CG97" s="24"/>
      <c r="CH97" s="104"/>
      <c r="CI97" s="265"/>
      <c r="CJ97" s="278"/>
      <c r="CK97" s="34"/>
      <c r="CL97" s="35"/>
      <c r="CM97" s="99"/>
      <c r="CN97" s="265"/>
      <c r="CO97" s="278"/>
      <c r="CP97" s="23"/>
      <c r="CQ97" s="171"/>
      <c r="CR97" s="104"/>
      <c r="CS97" s="263"/>
      <c r="CT97" s="278"/>
      <c r="CU97" s="430"/>
      <c r="CV97" s="431"/>
      <c r="CW97" s="431"/>
      <c r="CX97" s="432"/>
      <c r="CY97" s="23"/>
      <c r="CZ97" s="171"/>
      <c r="DA97" s="171"/>
      <c r="DB97" s="172"/>
      <c r="DC97" s="433"/>
      <c r="DD97" s="65"/>
      <c r="DE97" s="65"/>
      <c r="DF97" s="434"/>
    </row>
    <row r="98" spans="1:110" x14ac:dyDescent="0.25">
      <c r="A98" s="5" t="s">
        <v>99</v>
      </c>
      <c r="B98" s="6">
        <v>93</v>
      </c>
      <c r="C98" s="456">
        <v>936446</v>
      </c>
      <c r="D98" s="83">
        <f>'Qrtrly Cash Balances'!C95</f>
        <v>2571054.36</v>
      </c>
      <c r="E98" s="35">
        <f>RUTF!$D96</f>
        <v>284608.21000000002</v>
      </c>
      <c r="F98" s="401">
        <f>RUTF!$E96</f>
        <v>312177.63</v>
      </c>
      <c r="G98" s="406">
        <f>RUTF!$F96</f>
        <v>0</v>
      </c>
      <c r="H98" s="155">
        <f>RUTF!$G96</f>
        <v>0</v>
      </c>
      <c r="I98" s="156">
        <f>Federal!$F95+Federal!$J95+Federal!$N95+Federal!$R95</f>
        <v>0</v>
      </c>
      <c r="J98" s="155">
        <f>'Co Contrib'!C95+'Co Contrib'!D95+'Co Contrib'!E95+'Co Contrib'!F95+'Other Rev'!E95+'Other Rev'!H95+'Other Rev'!K95+'Other Rev'!N95</f>
        <v>0</v>
      </c>
      <c r="K98" s="149">
        <f>-1*(Expenditures!H95+Expenditures!N95+Expenditures!T95+Expenditures!Z95)</f>
        <v>-336335.18</v>
      </c>
      <c r="L98" s="74">
        <f>'Qrtrly Obligations'!U94</f>
        <v>-72321.59</v>
      </c>
      <c r="M98" s="246">
        <f t="shared" si="32"/>
        <v>0</v>
      </c>
      <c r="N98" s="248">
        <f t="shared" si="33"/>
        <v>0</v>
      </c>
      <c r="O98" s="54">
        <f t="shared" si="34"/>
        <v>0</v>
      </c>
      <c r="P98" s="255">
        <f t="shared" si="35"/>
        <v>0</v>
      </c>
      <c r="Q98" s="246">
        <f t="shared" si="36"/>
        <v>0</v>
      </c>
      <c r="R98" s="248">
        <f t="shared" si="37"/>
        <v>0</v>
      </c>
      <c r="S98" s="54">
        <f t="shared" si="38"/>
        <v>0</v>
      </c>
      <c r="T98" s="255">
        <f t="shared" si="39"/>
        <v>0</v>
      </c>
      <c r="U98" s="246">
        <f t="shared" si="40"/>
        <v>0</v>
      </c>
      <c r="V98" s="248">
        <f t="shared" si="41"/>
        <v>0</v>
      </c>
      <c r="W98" s="54">
        <f t="shared" si="42"/>
        <v>0</v>
      </c>
      <c r="X98" s="255">
        <f t="shared" si="43"/>
        <v>0</v>
      </c>
      <c r="Y98" s="246">
        <f t="shared" si="44"/>
        <v>0</v>
      </c>
      <c r="Z98" s="248">
        <f t="shared" si="45"/>
        <v>0</v>
      </c>
      <c r="AA98" s="54">
        <f t="shared" si="46"/>
        <v>0</v>
      </c>
      <c r="AB98" s="255">
        <f t="shared" si="47"/>
        <v>0</v>
      </c>
      <c r="AC98" s="246">
        <f t="shared" si="48"/>
        <v>0</v>
      </c>
      <c r="AD98" s="248">
        <f t="shared" si="49"/>
        <v>0</v>
      </c>
      <c r="AE98" s="54">
        <f t="shared" si="50"/>
        <v>0</v>
      </c>
      <c r="AF98" s="255">
        <f t="shared" si="51"/>
        <v>0</v>
      </c>
      <c r="AG98" s="83">
        <f t="shared" si="52"/>
        <v>2831505.0199999996</v>
      </c>
      <c r="AH98" s="146">
        <f t="shared" si="53"/>
        <v>2759183.4299999997</v>
      </c>
      <c r="AI98" s="181">
        <f t="shared" si="54"/>
        <v>2759183.4299999997</v>
      </c>
      <c r="AJ98" s="182">
        <f t="shared" si="29"/>
        <v>2.9464415780514837</v>
      </c>
      <c r="AK98" s="183">
        <f t="shared" si="30"/>
        <v>5568521.4299999997</v>
      </c>
      <c r="AL98" s="8">
        <f t="shared" si="31"/>
        <v>7441413.4299999997</v>
      </c>
      <c r="AM98" s="34"/>
      <c r="AN98" s="24"/>
      <c r="AO98" s="99"/>
      <c r="AP98" s="265"/>
      <c r="AQ98" s="278"/>
      <c r="AR98" s="34"/>
      <c r="AS98" s="24"/>
      <c r="AT98" s="99"/>
      <c r="AU98" s="265"/>
      <c r="AV98" s="278"/>
      <c r="AW98" s="23"/>
      <c r="AX98" s="24"/>
      <c r="AY98" s="104"/>
      <c r="AZ98" s="265"/>
      <c r="BA98" s="278"/>
      <c r="BB98" s="23"/>
      <c r="BC98" s="24"/>
      <c r="BD98" s="25"/>
      <c r="BE98" s="265"/>
      <c r="BF98" s="278"/>
      <c r="BG98" s="23"/>
      <c r="BH98" s="24"/>
      <c r="BI98" s="25"/>
      <c r="BJ98" s="265"/>
      <c r="BK98" s="278"/>
      <c r="BL98" s="23"/>
      <c r="BM98" s="93"/>
      <c r="BN98" s="104"/>
      <c r="BO98" s="265"/>
      <c r="BP98" s="278"/>
      <c r="BQ98" s="34"/>
      <c r="BR98" s="35"/>
      <c r="BS98" s="99"/>
      <c r="BT98" s="263"/>
      <c r="BU98" s="278"/>
      <c r="BV98" s="23"/>
      <c r="BW98" s="35"/>
      <c r="BX98" s="104"/>
      <c r="BY98" s="263"/>
      <c r="BZ98" s="278"/>
      <c r="CA98" s="34"/>
      <c r="CB98" s="36"/>
      <c r="CC98" s="99"/>
      <c r="CD98" s="265"/>
      <c r="CE98" s="278"/>
      <c r="CF98" s="34"/>
      <c r="CG98" s="35"/>
      <c r="CH98" s="104"/>
      <c r="CI98" s="265"/>
      <c r="CJ98" s="278"/>
      <c r="CK98" s="34"/>
      <c r="CL98" s="94"/>
      <c r="CM98" s="270"/>
      <c r="CN98" s="265"/>
      <c r="CO98" s="278"/>
      <c r="CP98" s="34"/>
      <c r="CQ98" s="171"/>
      <c r="CR98" s="99"/>
      <c r="CS98" s="263"/>
      <c r="CT98" s="278"/>
      <c r="CU98" s="430"/>
      <c r="CV98" s="431"/>
      <c r="CW98" s="431"/>
      <c r="CX98" s="432"/>
      <c r="CY98" s="23"/>
      <c r="CZ98" s="171"/>
      <c r="DA98" s="171"/>
      <c r="DB98" s="172"/>
      <c r="DC98" s="433"/>
      <c r="DD98" s="65"/>
      <c r="DE98" s="65"/>
      <c r="DF98" s="434"/>
    </row>
    <row r="99" spans="1:110" x14ac:dyDescent="0.25">
      <c r="A99" s="5" t="s">
        <v>100</v>
      </c>
      <c r="B99" s="6">
        <v>94</v>
      </c>
      <c r="C99" s="456">
        <v>1713227</v>
      </c>
      <c r="D99" s="83">
        <f>'Qrtrly Cash Balances'!C96</f>
        <v>-227608.39</v>
      </c>
      <c r="E99" s="35">
        <f>RUTF!$D97</f>
        <v>520690.57</v>
      </c>
      <c r="F99" s="401">
        <f>RUTF!$E97</f>
        <v>571128.81000000006</v>
      </c>
      <c r="G99" s="406">
        <f>RUTF!$F97</f>
        <v>0</v>
      </c>
      <c r="H99" s="155">
        <f>RUTF!$G97</f>
        <v>0</v>
      </c>
      <c r="I99" s="156">
        <f>Federal!$F96+Federal!$J96+Federal!$N96+Federal!$R96</f>
        <v>0</v>
      </c>
      <c r="J99" s="155">
        <f>'Co Contrib'!C96+'Co Contrib'!D96+'Co Contrib'!E96+'Co Contrib'!F96+'Other Rev'!E96+'Other Rev'!H96+'Other Rev'!K96+'Other Rev'!N96</f>
        <v>0</v>
      </c>
      <c r="K99" s="149">
        <f>-1*(Expenditures!H96+Expenditures!N96+Expenditures!T96+Expenditures!Z96)</f>
        <v>-2882802.31</v>
      </c>
      <c r="L99" s="74">
        <f>'Qrtrly Obligations'!U95</f>
        <v>-78095.56</v>
      </c>
      <c r="M99" s="246">
        <f t="shared" si="32"/>
        <v>0</v>
      </c>
      <c r="N99" s="248">
        <f t="shared" si="33"/>
        <v>0</v>
      </c>
      <c r="O99" s="54">
        <f t="shared" si="34"/>
        <v>0</v>
      </c>
      <c r="P99" s="255">
        <f t="shared" si="35"/>
        <v>0</v>
      </c>
      <c r="Q99" s="246">
        <f t="shared" si="36"/>
        <v>0</v>
      </c>
      <c r="R99" s="248">
        <f t="shared" si="37"/>
        <v>0</v>
      </c>
      <c r="S99" s="54">
        <f t="shared" si="38"/>
        <v>0</v>
      </c>
      <c r="T99" s="255">
        <f t="shared" si="39"/>
        <v>0</v>
      </c>
      <c r="U99" s="246">
        <f t="shared" si="40"/>
        <v>0</v>
      </c>
      <c r="V99" s="248">
        <f t="shared" si="41"/>
        <v>0</v>
      </c>
      <c r="W99" s="54">
        <f t="shared" si="42"/>
        <v>0</v>
      </c>
      <c r="X99" s="255">
        <f t="shared" si="43"/>
        <v>0</v>
      </c>
      <c r="Y99" s="246">
        <f t="shared" si="44"/>
        <v>0</v>
      </c>
      <c r="Z99" s="248">
        <f t="shared" si="45"/>
        <v>0</v>
      </c>
      <c r="AA99" s="54">
        <f t="shared" si="46"/>
        <v>0</v>
      </c>
      <c r="AB99" s="255">
        <f t="shared" si="47"/>
        <v>0</v>
      </c>
      <c r="AC99" s="246">
        <f t="shared" si="48"/>
        <v>0</v>
      </c>
      <c r="AD99" s="248">
        <f t="shared" si="49"/>
        <v>0</v>
      </c>
      <c r="AE99" s="54">
        <f t="shared" si="50"/>
        <v>0</v>
      </c>
      <c r="AF99" s="255">
        <f t="shared" si="51"/>
        <v>0</v>
      </c>
      <c r="AG99" s="83">
        <f t="shared" si="52"/>
        <v>-2018591.32</v>
      </c>
      <c r="AH99" s="146">
        <f t="shared" si="53"/>
        <v>-2096686.8800000001</v>
      </c>
      <c r="AI99" s="181">
        <f t="shared" si="54"/>
        <v>-2096686.8800000001</v>
      </c>
      <c r="AJ99" s="182">
        <f t="shared" si="29"/>
        <v>-1.2238231594528921</v>
      </c>
      <c r="AK99" s="183">
        <f t="shared" si="30"/>
        <v>3042994.12</v>
      </c>
      <c r="AL99" s="8">
        <f t="shared" si="31"/>
        <v>6469448.1200000001</v>
      </c>
      <c r="AM99" s="23"/>
      <c r="AN99" s="24"/>
      <c r="AO99" s="104"/>
      <c r="AP99" s="265"/>
      <c r="AQ99" s="278"/>
      <c r="AR99" s="23"/>
      <c r="AS99" s="24"/>
      <c r="AT99" s="104"/>
      <c r="AU99" s="265"/>
      <c r="AV99" s="278"/>
      <c r="AW99" s="23"/>
      <c r="AX99" s="24"/>
      <c r="AY99" s="104"/>
      <c r="AZ99" s="265"/>
      <c r="BA99" s="278"/>
      <c r="BB99" s="23"/>
      <c r="BC99" s="24"/>
      <c r="BD99" s="25"/>
      <c r="BE99" s="265"/>
      <c r="BF99" s="278"/>
      <c r="BG99" s="23"/>
      <c r="BH99" s="24"/>
      <c r="BI99" s="25"/>
      <c r="BJ99" s="265"/>
      <c r="BK99" s="278"/>
      <c r="BL99" s="23"/>
      <c r="BM99" s="93"/>
      <c r="BN99" s="104"/>
      <c r="BO99" s="265"/>
      <c r="BP99" s="278"/>
      <c r="BQ99" s="34"/>
      <c r="BR99" s="36"/>
      <c r="BS99" s="99"/>
      <c r="BT99" s="263"/>
      <c r="BU99" s="278"/>
      <c r="BV99" s="34"/>
      <c r="BW99" s="24"/>
      <c r="BX99" s="99"/>
      <c r="BY99" s="263"/>
      <c r="BZ99" s="278"/>
      <c r="CA99" s="34"/>
      <c r="CB99" s="35"/>
      <c r="CC99" s="99"/>
      <c r="CD99" s="265"/>
      <c r="CE99" s="278"/>
      <c r="CF99" s="34"/>
      <c r="CG99" s="35"/>
      <c r="CH99" s="99"/>
      <c r="CI99" s="265"/>
      <c r="CJ99" s="278"/>
      <c r="CK99" s="23"/>
      <c r="CL99" s="24"/>
      <c r="CM99" s="104"/>
      <c r="CN99" s="265"/>
      <c r="CO99" s="278"/>
      <c r="CP99" s="23"/>
      <c r="CQ99" s="171"/>
      <c r="CR99" s="104"/>
      <c r="CS99" s="263"/>
      <c r="CT99" s="278"/>
      <c r="CU99" s="430"/>
      <c r="CV99" s="431"/>
      <c r="CW99" s="431"/>
      <c r="CX99" s="432"/>
      <c r="CY99" s="23"/>
      <c r="CZ99" s="171"/>
      <c r="DA99" s="171"/>
      <c r="DB99" s="172"/>
      <c r="DC99" s="433"/>
      <c r="DD99" s="65"/>
      <c r="DE99" s="65"/>
      <c r="DF99" s="434"/>
    </row>
    <row r="100" spans="1:110" x14ac:dyDescent="0.25">
      <c r="A100" s="9" t="s">
        <v>101</v>
      </c>
      <c r="B100" s="17">
        <v>95</v>
      </c>
      <c r="C100" s="457">
        <v>754282</v>
      </c>
      <c r="D100" s="84">
        <f>'Qrtrly Cash Balances'!C97</f>
        <v>-511069.95</v>
      </c>
      <c r="E100" s="33">
        <f>RUTF!$D98</f>
        <v>229242.55</v>
      </c>
      <c r="F100" s="402">
        <f>RUTF!$E98</f>
        <v>251448.82</v>
      </c>
      <c r="G100" s="160">
        <f>RUTF!$F98</f>
        <v>0</v>
      </c>
      <c r="H100" s="159">
        <f>RUTF!$G98</f>
        <v>0</v>
      </c>
      <c r="I100" s="160">
        <f>Federal!$F97+Federal!$J97+Federal!$N97+Federal!$R97</f>
        <v>0</v>
      </c>
      <c r="J100" s="159">
        <f>'Co Contrib'!C97+'Co Contrib'!D97+'Co Contrib'!E97+'Co Contrib'!F97+'Other Rev'!E97+'Other Rev'!H97+'Other Rev'!K97+'Other Rev'!N97</f>
        <v>0</v>
      </c>
      <c r="K100" s="151">
        <f>-1*(Expenditures!H97+Expenditures!N97+Expenditures!T97+Expenditures!Z97)</f>
        <v>0</v>
      </c>
      <c r="L100" s="56">
        <f>'Qrtrly Obligations'!U96</f>
        <v>0</v>
      </c>
      <c r="M100" s="249">
        <f t="shared" si="32"/>
        <v>0</v>
      </c>
      <c r="N100" s="250">
        <f t="shared" si="33"/>
        <v>0</v>
      </c>
      <c r="O100" s="253">
        <f t="shared" si="34"/>
        <v>0</v>
      </c>
      <c r="P100" s="256">
        <f t="shared" si="35"/>
        <v>0</v>
      </c>
      <c r="Q100" s="249">
        <f t="shared" si="36"/>
        <v>0</v>
      </c>
      <c r="R100" s="250">
        <f t="shared" si="37"/>
        <v>0</v>
      </c>
      <c r="S100" s="253">
        <f t="shared" si="38"/>
        <v>0</v>
      </c>
      <c r="T100" s="256">
        <f t="shared" si="39"/>
        <v>0</v>
      </c>
      <c r="U100" s="249">
        <f t="shared" si="40"/>
        <v>0</v>
      </c>
      <c r="V100" s="250">
        <f t="shared" si="41"/>
        <v>0</v>
      </c>
      <c r="W100" s="253">
        <f t="shared" si="42"/>
        <v>0</v>
      </c>
      <c r="X100" s="256">
        <f t="shared" si="43"/>
        <v>0</v>
      </c>
      <c r="Y100" s="249">
        <f t="shared" si="44"/>
        <v>0</v>
      </c>
      <c r="Z100" s="250">
        <f t="shared" si="45"/>
        <v>0</v>
      </c>
      <c r="AA100" s="253">
        <f t="shared" si="46"/>
        <v>0</v>
      </c>
      <c r="AB100" s="256">
        <f t="shared" si="47"/>
        <v>0</v>
      </c>
      <c r="AC100" s="249">
        <f t="shared" si="48"/>
        <v>0</v>
      </c>
      <c r="AD100" s="250">
        <f t="shared" si="49"/>
        <v>0</v>
      </c>
      <c r="AE100" s="253">
        <f t="shared" si="50"/>
        <v>0</v>
      </c>
      <c r="AF100" s="256">
        <f t="shared" si="51"/>
        <v>0</v>
      </c>
      <c r="AG100" s="84">
        <f t="shared" si="52"/>
        <v>-30378.580000000016</v>
      </c>
      <c r="AH100" s="147">
        <f t="shared" si="53"/>
        <v>-30378.580000000016</v>
      </c>
      <c r="AI100" s="184">
        <f t="shared" si="54"/>
        <v>-30378.580000000016</v>
      </c>
      <c r="AJ100" s="185">
        <f t="shared" si="29"/>
        <v>-4.0274830898788541E-2</v>
      </c>
      <c r="AK100" s="183">
        <f t="shared" si="30"/>
        <v>2232467.42</v>
      </c>
      <c r="AL100" s="19">
        <f t="shared" si="31"/>
        <v>3741031.42</v>
      </c>
      <c r="AM100" s="26"/>
      <c r="AN100" s="27"/>
      <c r="AO100" s="269"/>
      <c r="AP100" s="267"/>
      <c r="AQ100" s="174"/>
      <c r="AR100" s="26"/>
      <c r="AS100" s="27"/>
      <c r="AT100" s="269"/>
      <c r="AU100" s="267"/>
      <c r="AV100" s="174"/>
      <c r="AW100" s="26"/>
      <c r="AX100" s="27"/>
      <c r="AY100" s="269"/>
      <c r="AZ100" s="267"/>
      <c r="BA100" s="174"/>
      <c r="BB100" s="26"/>
      <c r="BC100" s="27"/>
      <c r="BD100" s="28"/>
      <c r="BE100" s="267"/>
      <c r="BF100" s="174"/>
      <c r="BG100" s="26"/>
      <c r="BH100" s="27"/>
      <c r="BI100" s="28"/>
      <c r="BJ100" s="267"/>
      <c r="BK100" s="174"/>
      <c r="BL100" s="26"/>
      <c r="BM100" s="173"/>
      <c r="BN100" s="269"/>
      <c r="BO100" s="267"/>
      <c r="BP100" s="174"/>
      <c r="BQ100" s="37"/>
      <c r="BR100" s="33"/>
      <c r="BS100" s="260"/>
      <c r="BT100" s="264"/>
      <c r="BU100" s="174"/>
      <c r="BV100" s="37"/>
      <c r="BW100" s="33"/>
      <c r="BX100" s="269"/>
      <c r="BY100" s="264"/>
      <c r="BZ100" s="174"/>
      <c r="CA100" s="37"/>
      <c r="CB100" s="33"/>
      <c r="CC100" s="269"/>
      <c r="CD100" s="267"/>
      <c r="CE100" s="174"/>
      <c r="CF100" s="37"/>
      <c r="CG100" s="27"/>
      <c r="CH100" s="269"/>
      <c r="CI100" s="267"/>
      <c r="CJ100" s="174"/>
      <c r="CK100" s="26"/>
      <c r="CL100" s="27"/>
      <c r="CM100" s="269"/>
      <c r="CN100" s="267"/>
      <c r="CO100" s="174"/>
      <c r="CP100" s="26"/>
      <c r="CQ100" s="173"/>
      <c r="CR100" s="269"/>
      <c r="CS100" s="264"/>
      <c r="CT100" s="174"/>
      <c r="CU100" s="437"/>
      <c r="CV100" s="438"/>
      <c r="CW100" s="438"/>
      <c r="CX100" s="439"/>
      <c r="CY100" s="26"/>
      <c r="CZ100" s="173"/>
      <c r="DA100" s="173"/>
      <c r="DB100" s="174"/>
      <c r="DC100" s="433"/>
      <c r="DD100" s="65"/>
      <c r="DE100" s="65"/>
      <c r="DF100" s="434"/>
    </row>
    <row r="101" spans="1:110" x14ac:dyDescent="0.25">
      <c r="A101" s="5" t="s">
        <v>102</v>
      </c>
      <c r="B101" s="6">
        <v>96</v>
      </c>
      <c r="C101" s="456">
        <v>1560517</v>
      </c>
      <c r="D101" s="83">
        <f>'Qrtrly Cash Balances'!C98</f>
        <v>-742114.71</v>
      </c>
      <c r="E101" s="35">
        <f>RUTF!$D99</f>
        <v>474278.43</v>
      </c>
      <c r="F101" s="401">
        <f>RUTF!$E99</f>
        <v>520220.81</v>
      </c>
      <c r="G101" s="406">
        <f>RUTF!$F99</f>
        <v>0</v>
      </c>
      <c r="H101" s="155">
        <f>RUTF!$G99</f>
        <v>0</v>
      </c>
      <c r="I101" s="156">
        <f>Federal!$F98+Federal!$J98+Federal!$N98+Federal!$R98</f>
        <v>2370209.5</v>
      </c>
      <c r="J101" s="155">
        <f>'Co Contrib'!C98+'Co Contrib'!D98+'Co Contrib'!E98+'Co Contrib'!F98+'Other Rev'!E98+'Other Rev'!H98+'Other Rev'!K98+'Other Rev'!N98</f>
        <v>0</v>
      </c>
      <c r="K101" s="149">
        <f>-1*(Expenditures!H98+Expenditures!N98+Expenditures!T98+Expenditures!Z98)</f>
        <v>-4636529.37</v>
      </c>
      <c r="L101" s="74">
        <f>'Qrtrly Obligations'!U97</f>
        <v>-361007.18</v>
      </c>
      <c r="M101" s="246">
        <f t="shared" si="32"/>
        <v>0</v>
      </c>
      <c r="N101" s="248">
        <f t="shared" si="33"/>
        <v>0</v>
      </c>
      <c r="O101" s="54">
        <f t="shared" si="34"/>
        <v>0</v>
      </c>
      <c r="P101" s="255">
        <f t="shared" si="35"/>
        <v>451974.8</v>
      </c>
      <c r="Q101" s="246">
        <f t="shared" si="36"/>
        <v>0</v>
      </c>
      <c r="R101" s="248">
        <f t="shared" si="37"/>
        <v>0</v>
      </c>
      <c r="S101" s="54">
        <f t="shared" si="38"/>
        <v>0</v>
      </c>
      <c r="T101" s="255">
        <f t="shared" si="39"/>
        <v>0</v>
      </c>
      <c r="U101" s="246">
        <f t="shared" si="40"/>
        <v>0</v>
      </c>
      <c r="V101" s="248">
        <f t="shared" si="41"/>
        <v>0</v>
      </c>
      <c r="W101" s="54">
        <f t="shared" si="42"/>
        <v>0</v>
      </c>
      <c r="X101" s="255">
        <f t="shared" si="43"/>
        <v>0</v>
      </c>
      <c r="Y101" s="246">
        <f t="shared" si="44"/>
        <v>0</v>
      </c>
      <c r="Z101" s="248">
        <f t="shared" si="45"/>
        <v>0</v>
      </c>
      <c r="AA101" s="54">
        <f t="shared" si="46"/>
        <v>0</v>
      </c>
      <c r="AB101" s="255">
        <f t="shared" si="47"/>
        <v>451974.8</v>
      </c>
      <c r="AC101" s="246">
        <f t="shared" si="48"/>
        <v>0</v>
      </c>
      <c r="AD101" s="248">
        <f t="shared" si="49"/>
        <v>0</v>
      </c>
      <c r="AE101" s="54">
        <f t="shared" si="50"/>
        <v>0</v>
      </c>
      <c r="AF101" s="255">
        <f t="shared" si="51"/>
        <v>0</v>
      </c>
      <c r="AG101" s="83">
        <f t="shared" si="52"/>
        <v>-2013935.3399999999</v>
      </c>
      <c r="AH101" s="146">
        <f t="shared" si="53"/>
        <v>-2374942.52</v>
      </c>
      <c r="AI101" s="181">
        <f t="shared" si="54"/>
        <v>-2826917.32</v>
      </c>
      <c r="AJ101" s="182">
        <f t="shared" si="29"/>
        <v>-1.8115261288406341</v>
      </c>
      <c r="AK101" s="186">
        <f t="shared" si="30"/>
        <v>1854633.6800000002</v>
      </c>
      <c r="AL101" s="8">
        <f t="shared" si="31"/>
        <v>4975667.68</v>
      </c>
      <c r="AM101" s="34"/>
      <c r="AN101" s="35"/>
      <c r="AO101" s="99"/>
      <c r="AP101" s="265"/>
      <c r="AQ101" s="278"/>
      <c r="AR101" s="23"/>
      <c r="AS101" s="24"/>
      <c r="AT101" s="104"/>
      <c r="AU101" s="265"/>
      <c r="AV101" s="278"/>
      <c r="AW101" s="23"/>
      <c r="AX101" s="24"/>
      <c r="AY101" s="104"/>
      <c r="AZ101" s="265"/>
      <c r="BA101" s="278"/>
      <c r="BB101" s="23"/>
      <c r="BC101" s="24"/>
      <c r="BD101" s="25"/>
      <c r="BE101" s="265"/>
      <c r="BF101" s="278"/>
      <c r="BG101" s="23"/>
      <c r="BH101" s="24"/>
      <c r="BI101" s="25"/>
      <c r="BJ101" s="265"/>
      <c r="BK101" s="278"/>
      <c r="BL101" s="23"/>
      <c r="BM101" s="93"/>
      <c r="BN101" s="104"/>
      <c r="BO101" s="265"/>
      <c r="BP101" s="278"/>
      <c r="BQ101" s="34"/>
      <c r="BR101" s="35"/>
      <c r="BS101" s="99"/>
      <c r="BT101" s="263"/>
      <c r="BU101" s="278"/>
      <c r="BV101" s="23"/>
      <c r="BW101" s="95"/>
      <c r="BX101" s="271"/>
      <c r="BY101" s="263"/>
      <c r="BZ101" s="278"/>
      <c r="CA101" s="34"/>
      <c r="CB101" s="35"/>
      <c r="CC101" s="99"/>
      <c r="CD101" s="265"/>
      <c r="CE101" s="278">
        <v>451974.8</v>
      </c>
      <c r="CF101" s="34"/>
      <c r="CG101" s="35"/>
      <c r="CH101" s="104"/>
      <c r="CI101" s="265"/>
      <c r="CJ101" s="278"/>
      <c r="CK101" s="34"/>
      <c r="CL101" s="35"/>
      <c r="CM101" s="99"/>
      <c r="CN101" s="265"/>
      <c r="CO101" s="278"/>
      <c r="CP101" s="34"/>
      <c r="CQ101" s="171"/>
      <c r="CR101" s="99"/>
      <c r="CS101" s="263"/>
      <c r="CT101" s="278"/>
      <c r="CU101" s="430"/>
      <c r="CV101" s="431"/>
      <c r="CW101" s="431"/>
      <c r="CX101" s="432"/>
      <c r="CY101" s="23"/>
      <c r="CZ101" s="171"/>
      <c r="DA101" s="171"/>
      <c r="DB101" s="172"/>
      <c r="DC101" s="433"/>
      <c r="DD101" s="65"/>
      <c r="DE101" s="65"/>
      <c r="DF101" s="434"/>
    </row>
    <row r="102" spans="1:110" x14ac:dyDescent="0.25">
      <c r="A102" s="5" t="s">
        <v>103</v>
      </c>
      <c r="B102" s="6">
        <v>97</v>
      </c>
      <c r="C102" s="456">
        <v>1866653</v>
      </c>
      <c r="D102" s="83">
        <f>'Qrtrly Cash Balances'!C99</f>
        <v>-785479.38</v>
      </c>
      <c r="E102" s="35">
        <f>RUTF!$D100</f>
        <v>567320.42000000004</v>
      </c>
      <c r="F102" s="401">
        <f>RUTF!$E100</f>
        <v>622275.59</v>
      </c>
      <c r="G102" s="406">
        <f>RUTF!$F100</f>
        <v>0</v>
      </c>
      <c r="H102" s="155">
        <f>RUTF!$G100</f>
        <v>0</v>
      </c>
      <c r="I102" s="156">
        <f>Federal!$F99+Federal!$J99+Federal!$N99+Federal!$R99</f>
        <v>0</v>
      </c>
      <c r="J102" s="155">
        <f>'Co Contrib'!C99+'Co Contrib'!D99+'Co Contrib'!E99+'Co Contrib'!F99+'Other Rev'!E99+'Other Rev'!H99+'Other Rev'!K99+'Other Rev'!N99</f>
        <v>72257.53</v>
      </c>
      <c r="K102" s="149">
        <f>-1*(Expenditures!H99+Expenditures!N99+Expenditures!T99+Expenditures!Z99)</f>
        <v>-638900.39999999991</v>
      </c>
      <c r="L102" s="74">
        <f>'Qrtrly Obligations'!U98</f>
        <v>-4014423.83</v>
      </c>
      <c r="M102" s="246">
        <f t="shared" si="32"/>
        <v>7097426.0899999999</v>
      </c>
      <c r="N102" s="248">
        <f t="shared" si="33"/>
        <v>2046295.79</v>
      </c>
      <c r="O102" s="54">
        <f t="shared" si="34"/>
        <v>3762607.6</v>
      </c>
      <c r="P102" s="255">
        <f t="shared" si="35"/>
        <v>1646456.6</v>
      </c>
      <c r="Q102" s="246">
        <f t="shared" si="36"/>
        <v>0</v>
      </c>
      <c r="R102" s="248">
        <f t="shared" si="37"/>
        <v>0</v>
      </c>
      <c r="S102" s="54">
        <f t="shared" si="38"/>
        <v>0</v>
      </c>
      <c r="T102" s="255">
        <f t="shared" si="39"/>
        <v>0</v>
      </c>
      <c r="U102" s="246">
        <f t="shared" si="40"/>
        <v>3762607.6</v>
      </c>
      <c r="V102" s="248">
        <f t="shared" si="41"/>
        <v>0</v>
      </c>
      <c r="W102" s="54">
        <f t="shared" si="42"/>
        <v>3762607.6</v>
      </c>
      <c r="X102" s="255">
        <f t="shared" si="43"/>
        <v>0</v>
      </c>
      <c r="Y102" s="246">
        <f t="shared" si="44"/>
        <v>3334818.49</v>
      </c>
      <c r="Z102" s="248">
        <f t="shared" si="45"/>
        <v>2046295.79</v>
      </c>
      <c r="AA102" s="54">
        <f t="shared" si="46"/>
        <v>0</v>
      </c>
      <c r="AB102" s="255">
        <f t="shared" si="47"/>
        <v>1646456.6</v>
      </c>
      <c r="AC102" s="246">
        <f t="shared" si="48"/>
        <v>0</v>
      </c>
      <c r="AD102" s="248">
        <f t="shared" si="49"/>
        <v>0</v>
      </c>
      <c r="AE102" s="54">
        <f t="shared" si="50"/>
        <v>0</v>
      </c>
      <c r="AF102" s="255">
        <f t="shared" si="51"/>
        <v>0</v>
      </c>
      <c r="AG102" s="83">
        <f t="shared" si="52"/>
        <v>-162526.23999999987</v>
      </c>
      <c r="AH102" s="146">
        <f t="shared" si="53"/>
        <v>-4176950.07</v>
      </c>
      <c r="AI102" s="181">
        <f t="shared" si="54"/>
        <v>-7869702.459999999</v>
      </c>
      <c r="AJ102" s="182">
        <f t="shared" ref="AJ102:AJ105" si="55">AI102/C102</f>
        <v>-4.2159428988676515</v>
      </c>
      <c r="AK102" s="183">
        <f t="shared" si="30"/>
        <v>-2269743.459999999</v>
      </c>
      <c r="AL102" s="8">
        <f t="shared" si="31"/>
        <v>1463562.540000001</v>
      </c>
      <c r="AM102" s="23"/>
      <c r="AN102" s="24"/>
      <c r="AO102" s="104"/>
      <c r="AP102" s="265"/>
      <c r="AQ102" s="364"/>
      <c r="AR102" s="23"/>
      <c r="AS102" s="24"/>
      <c r="AT102" s="104"/>
      <c r="AU102" s="265"/>
      <c r="AV102" s="364"/>
      <c r="AW102" s="23"/>
      <c r="AX102" s="24"/>
      <c r="AY102" s="104"/>
      <c r="AZ102" s="265"/>
      <c r="BA102" s="364"/>
      <c r="BB102" s="23"/>
      <c r="BC102" s="24"/>
      <c r="BD102" s="25"/>
      <c r="BE102" s="265"/>
      <c r="BF102" s="364"/>
      <c r="BG102" s="23"/>
      <c r="BH102" s="24"/>
      <c r="BI102" s="25"/>
      <c r="BJ102" s="265"/>
      <c r="BK102" s="364"/>
      <c r="BL102" s="34">
        <v>3762607.6</v>
      </c>
      <c r="BM102" s="93"/>
      <c r="BN102" s="99">
        <v>3762607.6</v>
      </c>
      <c r="BO102" s="265"/>
      <c r="BP102" s="364"/>
      <c r="BQ102" s="34">
        <v>3334818.49</v>
      </c>
      <c r="BR102" s="35">
        <v>2046295.79</v>
      </c>
      <c r="BS102" s="99"/>
      <c r="BT102" s="263"/>
      <c r="BU102" s="364"/>
      <c r="BV102" s="34"/>
      <c r="BW102" s="35"/>
      <c r="BX102" s="99"/>
      <c r="BY102" s="263"/>
      <c r="BZ102" s="364">
        <v>751517.95</v>
      </c>
      <c r="CA102" s="34"/>
      <c r="CB102" s="35"/>
      <c r="CC102" s="104"/>
      <c r="CD102" s="265"/>
      <c r="CE102" s="364">
        <v>894938.65</v>
      </c>
      <c r="CF102" s="34"/>
      <c r="CG102" s="35"/>
      <c r="CH102" s="104"/>
      <c r="CI102" s="265"/>
      <c r="CJ102" s="364"/>
      <c r="CK102" s="34"/>
      <c r="CL102" s="24"/>
      <c r="CM102" s="99"/>
      <c r="CN102" s="265"/>
      <c r="CO102" s="364"/>
      <c r="CP102" s="23"/>
      <c r="CQ102" s="171"/>
      <c r="CR102" s="104"/>
      <c r="CS102" s="263"/>
      <c r="CT102" s="364"/>
      <c r="CU102" s="430"/>
      <c r="CV102" s="431"/>
      <c r="CW102" s="431"/>
      <c r="CX102" s="432"/>
      <c r="CY102" s="23"/>
      <c r="CZ102" s="171"/>
      <c r="DA102" s="171"/>
      <c r="DB102" s="172"/>
      <c r="DC102" s="433"/>
      <c r="DD102" s="65"/>
      <c r="DE102" s="65"/>
      <c r="DF102" s="434"/>
    </row>
    <row r="103" spans="1:110" x14ac:dyDescent="0.25">
      <c r="A103" s="5" t="s">
        <v>112</v>
      </c>
      <c r="B103" s="6">
        <v>98</v>
      </c>
      <c r="C103" s="456">
        <v>842733</v>
      </c>
      <c r="D103" s="83">
        <f>'Qrtrly Cash Balances'!C100</f>
        <v>1097687.32</v>
      </c>
      <c r="E103" s="35">
        <f>RUTF!$D101</f>
        <v>256126.76</v>
      </c>
      <c r="F103" s="401">
        <f>RUTF!$E101</f>
        <v>280937.24</v>
      </c>
      <c r="G103" s="406">
        <f>RUTF!$F101</f>
        <v>0</v>
      </c>
      <c r="H103" s="155">
        <f>RUTF!$G101</f>
        <v>0</v>
      </c>
      <c r="I103" s="156">
        <f>Federal!$F100+Federal!$J100+Federal!$N100+Federal!$R100</f>
        <v>0</v>
      </c>
      <c r="J103" s="155">
        <f>'Co Contrib'!C100+'Co Contrib'!D100+'Co Contrib'!E100+'Co Contrib'!F100+'Other Rev'!E100+'Other Rev'!H100+'Other Rev'!K100+'Other Rev'!N100</f>
        <v>0</v>
      </c>
      <c r="K103" s="149">
        <f>-1*(Expenditures!H100+Expenditures!N100+Expenditures!T100+Expenditures!Z100)</f>
        <v>-1428808.1199999999</v>
      </c>
      <c r="L103" s="74">
        <f>'Qrtrly Obligations'!U99</f>
        <v>-420649.93</v>
      </c>
      <c r="M103" s="246">
        <f t="shared" si="32"/>
        <v>561287.32999999996</v>
      </c>
      <c r="N103" s="248">
        <f t="shared" si="33"/>
        <v>0</v>
      </c>
      <c r="O103" s="54">
        <f t="shared" si="34"/>
        <v>561287.32999999996</v>
      </c>
      <c r="P103" s="255">
        <f t="shared" si="35"/>
        <v>408541.7</v>
      </c>
      <c r="Q103" s="246">
        <f t="shared" si="36"/>
        <v>0</v>
      </c>
      <c r="R103" s="248">
        <f t="shared" si="37"/>
        <v>0</v>
      </c>
      <c r="S103" s="54">
        <f t="shared" si="38"/>
        <v>0</v>
      </c>
      <c r="T103" s="255">
        <f t="shared" si="39"/>
        <v>408541.7</v>
      </c>
      <c r="U103" s="246">
        <f t="shared" si="40"/>
        <v>0</v>
      </c>
      <c r="V103" s="248">
        <f t="shared" si="41"/>
        <v>0</v>
      </c>
      <c r="W103" s="54">
        <f t="shared" si="42"/>
        <v>0</v>
      </c>
      <c r="X103" s="255">
        <f t="shared" si="43"/>
        <v>0</v>
      </c>
      <c r="Y103" s="246">
        <f t="shared" si="44"/>
        <v>561287.32999999996</v>
      </c>
      <c r="Z103" s="248">
        <f t="shared" si="45"/>
        <v>0</v>
      </c>
      <c r="AA103" s="54">
        <f t="shared" si="46"/>
        <v>561287.32999999996</v>
      </c>
      <c r="AB103" s="255">
        <f t="shared" si="47"/>
        <v>0</v>
      </c>
      <c r="AC103" s="246">
        <f t="shared" si="48"/>
        <v>0</v>
      </c>
      <c r="AD103" s="248">
        <f t="shared" si="49"/>
        <v>0</v>
      </c>
      <c r="AE103" s="54">
        <f t="shared" si="50"/>
        <v>0</v>
      </c>
      <c r="AF103" s="255">
        <f t="shared" si="51"/>
        <v>0</v>
      </c>
      <c r="AG103" s="83">
        <f t="shared" si="52"/>
        <v>205943.20000000019</v>
      </c>
      <c r="AH103" s="146">
        <f t="shared" si="53"/>
        <v>-214706.72999999981</v>
      </c>
      <c r="AI103" s="181">
        <f t="shared" si="54"/>
        <v>-775994.05999999982</v>
      </c>
      <c r="AJ103" s="182">
        <f t="shared" si="55"/>
        <v>-0.92080654252295779</v>
      </c>
      <c r="AK103" s="183">
        <f t="shared" si="30"/>
        <v>1752204.9400000002</v>
      </c>
      <c r="AL103" s="8">
        <f t="shared" si="31"/>
        <v>3437670.9400000004</v>
      </c>
      <c r="AM103" s="23"/>
      <c r="AN103" s="24"/>
      <c r="AO103" s="104"/>
      <c r="AP103" s="265"/>
      <c r="AQ103" s="278"/>
      <c r="AR103" s="23"/>
      <c r="AS103" s="24"/>
      <c r="AT103" s="104"/>
      <c r="AU103" s="265"/>
      <c r="AV103" s="278">
        <v>408541.7</v>
      </c>
      <c r="AW103" s="23"/>
      <c r="AX103" s="24"/>
      <c r="AY103" s="104"/>
      <c r="AZ103" s="265"/>
      <c r="BA103" s="278"/>
      <c r="BB103" s="23"/>
      <c r="BC103" s="24"/>
      <c r="BD103" s="25"/>
      <c r="BE103" s="265"/>
      <c r="BF103" s="278"/>
      <c r="BG103" s="23"/>
      <c r="BH103" s="24"/>
      <c r="BI103" s="25"/>
      <c r="BJ103" s="265"/>
      <c r="BK103" s="278"/>
      <c r="BL103" s="23"/>
      <c r="BM103" s="93"/>
      <c r="BN103" s="104"/>
      <c r="BO103" s="265"/>
      <c r="BP103" s="278"/>
      <c r="BQ103" s="34"/>
      <c r="BR103" s="35"/>
      <c r="BS103" s="99"/>
      <c r="BT103" s="263"/>
      <c r="BU103" s="278"/>
      <c r="BV103" s="34"/>
      <c r="BW103" s="35"/>
      <c r="BX103" s="99"/>
      <c r="BY103" s="263"/>
      <c r="BZ103" s="278"/>
      <c r="CA103" s="34">
        <v>561287.32999999996</v>
      </c>
      <c r="CB103" s="35"/>
      <c r="CC103" s="99">
        <v>561287.32999999996</v>
      </c>
      <c r="CD103" s="265"/>
      <c r="CE103" s="278"/>
      <c r="CF103" s="23"/>
      <c r="CG103" s="24"/>
      <c r="CH103" s="104"/>
      <c r="CI103" s="265"/>
      <c r="CJ103" s="278"/>
      <c r="CK103" s="23"/>
      <c r="CL103" s="24"/>
      <c r="CM103" s="104"/>
      <c r="CN103" s="265"/>
      <c r="CO103" s="278"/>
      <c r="CP103" s="23"/>
      <c r="CQ103" s="171"/>
      <c r="CR103" s="104"/>
      <c r="CS103" s="263"/>
      <c r="CT103" s="278"/>
      <c r="CU103" s="430"/>
      <c r="CV103" s="431"/>
      <c r="CW103" s="431"/>
      <c r="CX103" s="432"/>
      <c r="CY103" s="23"/>
      <c r="CZ103" s="171"/>
      <c r="DA103" s="171"/>
      <c r="DB103" s="172"/>
      <c r="DC103" s="433"/>
      <c r="DD103" s="65"/>
      <c r="DE103" s="65"/>
      <c r="DF103" s="434"/>
    </row>
    <row r="104" spans="1:110" x14ac:dyDescent="0.25">
      <c r="A104" s="9" t="s">
        <v>104</v>
      </c>
      <c r="B104" s="17">
        <v>99</v>
      </c>
      <c r="C104" s="457">
        <v>1001339</v>
      </c>
      <c r="D104" s="84">
        <f>'Qrtrly Cash Balances'!C101</f>
        <v>543493.57999999996</v>
      </c>
      <c r="E104" s="33">
        <f>RUTF!$D102</f>
        <v>304330.71999999997</v>
      </c>
      <c r="F104" s="365">
        <f>RUTF!$E102</f>
        <v>333810.62</v>
      </c>
      <c r="G104" s="162">
        <f>RUTF!$F102</f>
        <v>0</v>
      </c>
      <c r="H104" s="161">
        <f>RUTF!$G102</f>
        <v>0</v>
      </c>
      <c r="I104" s="162">
        <f>Federal!$F101+Federal!$J101+Federal!$N101+Federal!$R101</f>
        <v>296493.8</v>
      </c>
      <c r="J104" s="161">
        <f>'Co Contrib'!C101+'Co Contrib'!D101+'Co Contrib'!E101+'Co Contrib'!F101+'Other Rev'!E101+'Other Rev'!H101+'Other Rev'!K101+'Other Rev'!N101</f>
        <v>0</v>
      </c>
      <c r="K104" s="150">
        <f>-1*(Expenditures!H101+Expenditures!N101+Expenditures!T101+Expenditures!Z101)</f>
        <v>-1032144.5900000001</v>
      </c>
      <c r="L104" s="56">
        <f>'Qrtrly Obligations'!U100</f>
        <v>-1781447.37</v>
      </c>
      <c r="M104" s="246">
        <f t="shared" si="32"/>
        <v>4611348.4000000004</v>
      </c>
      <c r="N104" s="250">
        <f t="shared" si="33"/>
        <v>1370142.51</v>
      </c>
      <c r="O104" s="54">
        <f t="shared" si="34"/>
        <v>0</v>
      </c>
      <c r="P104" s="255">
        <f t="shared" si="35"/>
        <v>186029.75</v>
      </c>
      <c r="Q104" s="246">
        <f t="shared" si="36"/>
        <v>0</v>
      </c>
      <c r="R104" s="250">
        <f t="shared" si="37"/>
        <v>0</v>
      </c>
      <c r="S104" s="54">
        <f t="shared" si="38"/>
        <v>0</v>
      </c>
      <c r="T104" s="255">
        <f t="shared" si="39"/>
        <v>0</v>
      </c>
      <c r="U104" s="246">
        <f t="shared" si="40"/>
        <v>1737108.61</v>
      </c>
      <c r="V104" s="250">
        <f t="shared" si="41"/>
        <v>347421.72</v>
      </c>
      <c r="W104" s="54">
        <f t="shared" si="42"/>
        <v>0</v>
      </c>
      <c r="X104" s="255">
        <f t="shared" si="43"/>
        <v>0</v>
      </c>
      <c r="Y104" s="246">
        <f t="shared" si="44"/>
        <v>2874239.79</v>
      </c>
      <c r="Z104" s="250">
        <f t="shared" si="45"/>
        <v>1022720.79</v>
      </c>
      <c r="AA104" s="54">
        <f t="shared" si="46"/>
        <v>0</v>
      </c>
      <c r="AB104" s="255">
        <f t="shared" si="47"/>
        <v>186029.75</v>
      </c>
      <c r="AC104" s="246">
        <f t="shared" si="48"/>
        <v>0</v>
      </c>
      <c r="AD104" s="250">
        <f t="shared" si="49"/>
        <v>0</v>
      </c>
      <c r="AE104" s="54">
        <f t="shared" si="50"/>
        <v>0</v>
      </c>
      <c r="AF104" s="255">
        <f t="shared" si="51"/>
        <v>0</v>
      </c>
      <c r="AG104" s="83">
        <f t="shared" si="52"/>
        <v>445984.12999999989</v>
      </c>
      <c r="AH104" s="146">
        <f t="shared" si="53"/>
        <v>-1335463.2400000002</v>
      </c>
      <c r="AI104" s="184">
        <f t="shared" si="54"/>
        <v>-2544213.7800000003</v>
      </c>
      <c r="AJ104" s="185">
        <f t="shared" si="55"/>
        <v>-2.5408116332231145</v>
      </c>
      <c r="AK104" s="183">
        <f t="shared" si="30"/>
        <v>459803.21999999974</v>
      </c>
      <c r="AL104" s="19">
        <f t="shared" si="31"/>
        <v>2462481.2199999997</v>
      </c>
      <c r="AM104" s="26"/>
      <c r="AN104" s="27"/>
      <c r="AO104" s="269"/>
      <c r="AP104" s="267"/>
      <c r="AQ104" s="174"/>
      <c r="AR104" s="26"/>
      <c r="AS104" s="27"/>
      <c r="AT104" s="269"/>
      <c r="AU104" s="267"/>
      <c r="AV104" s="174"/>
      <c r="AW104" s="26"/>
      <c r="AX104" s="27"/>
      <c r="AY104" s="269"/>
      <c r="AZ104" s="267"/>
      <c r="BA104" s="174"/>
      <c r="BB104" s="26"/>
      <c r="BC104" s="27"/>
      <c r="BD104" s="28"/>
      <c r="BE104" s="267"/>
      <c r="BF104" s="174"/>
      <c r="BG104" s="26">
        <v>1737108.61</v>
      </c>
      <c r="BH104" s="27">
        <v>347421.72</v>
      </c>
      <c r="BI104" s="28"/>
      <c r="BJ104" s="267"/>
      <c r="BK104" s="174"/>
      <c r="BL104" s="26"/>
      <c r="BM104" s="173"/>
      <c r="BN104" s="269"/>
      <c r="BO104" s="267"/>
      <c r="BP104" s="174"/>
      <c r="BQ104" s="34"/>
      <c r="BR104" s="33"/>
      <c r="BS104" s="260"/>
      <c r="BT104" s="264"/>
      <c r="BU104" s="174"/>
      <c r="BV104" s="37"/>
      <c r="BW104" s="33"/>
      <c r="BX104" s="269"/>
      <c r="BY104" s="264"/>
      <c r="BZ104" s="174"/>
      <c r="CA104" s="37">
        <v>2874239.79</v>
      </c>
      <c r="CB104" s="477">
        <v>1022720.79</v>
      </c>
      <c r="CC104" s="260"/>
      <c r="CD104" s="267"/>
      <c r="CE104" s="174">
        <v>186029.75</v>
      </c>
      <c r="CF104" s="37"/>
      <c r="CG104" s="33"/>
      <c r="CH104" s="260"/>
      <c r="CI104" s="267"/>
      <c r="CJ104" s="174"/>
      <c r="CK104" s="26"/>
      <c r="CL104" s="27"/>
      <c r="CM104" s="269"/>
      <c r="CN104" s="267"/>
      <c r="CO104" s="174"/>
      <c r="CP104" s="26"/>
      <c r="CQ104" s="173"/>
      <c r="CR104" s="269"/>
      <c r="CS104" s="264"/>
      <c r="CT104" s="174"/>
      <c r="CU104" s="437"/>
      <c r="CV104" s="438"/>
      <c r="CW104" s="438"/>
      <c r="CX104" s="439"/>
      <c r="CY104" s="26"/>
      <c r="CZ104" s="173"/>
      <c r="DA104" s="173"/>
      <c r="DB104" s="174"/>
      <c r="DC104" s="433"/>
      <c r="DD104" s="65"/>
      <c r="DE104" s="65"/>
      <c r="DF104" s="434"/>
    </row>
    <row r="105" spans="1:110" ht="15.75" thickBot="1" x14ac:dyDescent="0.3">
      <c r="A105" s="20" t="s">
        <v>1</v>
      </c>
      <c r="B105" s="21"/>
      <c r="C105" s="80">
        <f t="shared" ref="C105:P105" si="56">SUM(C6:C104)</f>
        <v>126240000</v>
      </c>
      <c r="D105" s="98">
        <f>SUM(D6:D104)</f>
        <v>121472943.80000004</v>
      </c>
      <c r="E105" s="97">
        <f t="shared" si="56"/>
        <v>38367342.209999993</v>
      </c>
      <c r="F105" s="52">
        <f t="shared" si="56"/>
        <v>42083908.200000003</v>
      </c>
      <c r="G105" s="67">
        <f t="shared" si="56"/>
        <v>0</v>
      </c>
      <c r="H105" s="67">
        <f t="shared" si="56"/>
        <v>0</v>
      </c>
      <c r="I105" s="67">
        <f t="shared" si="56"/>
        <v>46419536.31000001</v>
      </c>
      <c r="J105" s="67">
        <f>SUM(J6:J104)</f>
        <v>17930070.710000005</v>
      </c>
      <c r="K105" s="163">
        <f t="shared" si="56"/>
        <v>-141516813.90000001</v>
      </c>
      <c r="L105" s="163">
        <f t="shared" si="56"/>
        <v>-123835620.70999999</v>
      </c>
      <c r="M105" s="98">
        <f t="shared" si="56"/>
        <v>161332232.44000006</v>
      </c>
      <c r="N105" s="251">
        <f t="shared" si="56"/>
        <v>43728069.859999999</v>
      </c>
      <c r="O105" s="55">
        <f t="shared" si="56"/>
        <v>73183514.980000004</v>
      </c>
      <c r="P105" s="257">
        <f t="shared" si="56"/>
        <v>34652513.170000009</v>
      </c>
      <c r="Q105" s="98">
        <f t="shared" ref="Q105:AF105" si="57">SUM(Q6:Q104)</f>
        <v>16907694.099999998</v>
      </c>
      <c r="R105" s="251">
        <f t="shared" si="57"/>
        <v>4175771.5100000002</v>
      </c>
      <c r="S105" s="55">
        <f t="shared" si="57"/>
        <v>5414964.7100000009</v>
      </c>
      <c r="T105" s="257">
        <f t="shared" si="57"/>
        <v>10188014.399999999</v>
      </c>
      <c r="U105" s="98">
        <f t="shared" si="57"/>
        <v>45785354.049999997</v>
      </c>
      <c r="V105" s="251">
        <f t="shared" si="57"/>
        <v>11457006.98</v>
      </c>
      <c r="W105" s="55">
        <f t="shared" si="57"/>
        <v>19139995.710000001</v>
      </c>
      <c r="X105" s="257">
        <f t="shared" si="57"/>
        <v>5183380.9799999995</v>
      </c>
      <c r="Y105" s="98">
        <f t="shared" si="57"/>
        <v>98639184.290000007</v>
      </c>
      <c r="Z105" s="251">
        <f t="shared" si="57"/>
        <v>28095291.370000001</v>
      </c>
      <c r="AA105" s="55">
        <f t="shared" si="57"/>
        <v>48628554.559999995</v>
      </c>
      <c r="AB105" s="257">
        <f t="shared" si="57"/>
        <v>19281117.790000003</v>
      </c>
      <c r="AC105" s="98">
        <f t="shared" si="57"/>
        <v>0</v>
      </c>
      <c r="AD105" s="251">
        <f t="shared" si="57"/>
        <v>0</v>
      </c>
      <c r="AE105" s="55">
        <f t="shared" si="57"/>
        <v>0</v>
      </c>
      <c r="AF105" s="257">
        <f t="shared" si="57"/>
        <v>0</v>
      </c>
      <c r="AG105" s="252">
        <f>SUM(AG6:AG104)</f>
        <v>124756987.33000003</v>
      </c>
      <c r="AH105" s="148">
        <f>SUM(AH6:AH104)</f>
        <v>921366.61999999825</v>
      </c>
      <c r="AI105" s="187">
        <f>SUM(AI6:AI104)</f>
        <v>-95083597.099999994</v>
      </c>
      <c r="AJ105" s="188">
        <f t="shared" si="55"/>
        <v>-0.75319706194550062</v>
      </c>
      <c r="AK105" s="189">
        <f>SUM(AK6:AK104)</f>
        <v>283636402.9000001</v>
      </c>
      <c r="AL105" s="22">
        <f t="shared" si="31"/>
        <v>536116402.89999998</v>
      </c>
      <c r="AM105" s="29">
        <f t="shared" ref="AM105:CY105" si="58">SUM(AM6:AM104)</f>
        <v>3834184.53</v>
      </c>
      <c r="AN105" s="30">
        <f t="shared" si="58"/>
        <v>2565204.2199999997</v>
      </c>
      <c r="AO105" s="31">
        <f t="shared" si="58"/>
        <v>354291.57999999996</v>
      </c>
      <c r="AP105" s="266">
        <f>SUM(AP6:AP104)</f>
        <v>0</v>
      </c>
      <c r="AQ105" s="31">
        <f>SUM(AQ6:AQ104)</f>
        <v>6275271.4500000002</v>
      </c>
      <c r="AR105" s="29">
        <f t="shared" si="58"/>
        <v>8643459.7699999996</v>
      </c>
      <c r="AS105" s="30">
        <f t="shared" si="58"/>
        <v>1610567.29</v>
      </c>
      <c r="AT105" s="31">
        <f t="shared" si="58"/>
        <v>630623.32999999996</v>
      </c>
      <c r="AU105" s="266">
        <f t="shared" si="58"/>
        <v>0</v>
      </c>
      <c r="AV105" s="31">
        <f t="shared" si="58"/>
        <v>3341846.45</v>
      </c>
      <c r="AW105" s="29">
        <f t="shared" si="58"/>
        <v>4107932</v>
      </c>
      <c r="AX105" s="30">
        <f t="shared" si="58"/>
        <v>0</v>
      </c>
      <c r="AY105" s="31">
        <f t="shared" si="58"/>
        <v>4107932</v>
      </c>
      <c r="AZ105" s="266">
        <f>SUM(AZ6:AZ104)</f>
        <v>146548</v>
      </c>
      <c r="BA105" s="31">
        <f>SUM(BA6:BA104)</f>
        <v>424348.5</v>
      </c>
      <c r="BB105" s="29">
        <f t="shared" si="58"/>
        <v>1848838.67</v>
      </c>
      <c r="BC105" s="30">
        <f t="shared" si="58"/>
        <v>0</v>
      </c>
      <c r="BD105" s="31">
        <f t="shared" si="58"/>
        <v>1848838.67</v>
      </c>
      <c r="BE105" s="266">
        <f t="shared" si="58"/>
        <v>0</v>
      </c>
      <c r="BF105" s="31">
        <f>SUM(BF6:BF104)</f>
        <v>0</v>
      </c>
      <c r="BG105" s="29">
        <f t="shared" si="58"/>
        <v>31202847.199999996</v>
      </c>
      <c r="BH105" s="30">
        <f t="shared" si="58"/>
        <v>9599046.540000001</v>
      </c>
      <c r="BI105" s="31">
        <f t="shared" si="58"/>
        <v>12682929.77</v>
      </c>
      <c r="BJ105" s="266">
        <f t="shared" si="58"/>
        <v>91318.25</v>
      </c>
      <c r="BK105" s="31">
        <f>SUM(BK6:BK104)</f>
        <v>1596431.58</v>
      </c>
      <c r="BL105" s="29">
        <f>SUM(BL6:BL104)</f>
        <v>12733668.18</v>
      </c>
      <c r="BM105" s="30">
        <f t="shared" si="58"/>
        <v>1857960.44</v>
      </c>
      <c r="BN105" s="31">
        <f t="shared" si="58"/>
        <v>4608227.2699999996</v>
      </c>
      <c r="BO105" s="268">
        <f t="shared" si="58"/>
        <v>0</v>
      </c>
      <c r="BP105" s="31">
        <f t="shared" si="58"/>
        <v>3495631.15</v>
      </c>
      <c r="BQ105" s="72">
        <f t="shared" si="58"/>
        <v>46222639.000000007</v>
      </c>
      <c r="BR105" s="52">
        <f t="shared" si="58"/>
        <v>16699772.470000003</v>
      </c>
      <c r="BS105" s="73">
        <f t="shared" si="58"/>
        <v>23034589.459999997</v>
      </c>
      <c r="BT105" s="266">
        <f t="shared" si="58"/>
        <v>135172</v>
      </c>
      <c r="BU105" s="103">
        <f t="shared" si="58"/>
        <v>6111232.4600000009</v>
      </c>
      <c r="BV105" s="124">
        <f t="shared" si="58"/>
        <v>20989039.959999997</v>
      </c>
      <c r="BW105" s="31">
        <f t="shared" si="58"/>
        <v>3296903.3600000003</v>
      </c>
      <c r="BX105" s="31">
        <f t="shared" si="58"/>
        <v>9327939.8900000006</v>
      </c>
      <c r="BY105" s="268">
        <f t="shared" si="58"/>
        <v>0</v>
      </c>
      <c r="BZ105" s="103">
        <f t="shared" ref="BZ105:CE105" si="59">SUM(BZ6:BZ104)</f>
        <v>8818002.7199999988</v>
      </c>
      <c r="CA105" s="29">
        <f t="shared" si="59"/>
        <v>31427505.329999998</v>
      </c>
      <c r="CB105" s="30">
        <f t="shared" si="59"/>
        <v>8098615.54</v>
      </c>
      <c r="CC105" s="31">
        <f t="shared" si="59"/>
        <v>16266025.210000001</v>
      </c>
      <c r="CD105" s="266">
        <f t="shared" si="59"/>
        <v>0</v>
      </c>
      <c r="CE105" s="103">
        <f t="shared" si="59"/>
        <v>4216710.6099999994</v>
      </c>
      <c r="CF105" s="29">
        <f t="shared" si="58"/>
        <v>0</v>
      </c>
      <c r="CG105" s="30">
        <f t="shared" si="58"/>
        <v>0</v>
      </c>
      <c r="CH105" s="31">
        <f t="shared" si="58"/>
        <v>0</v>
      </c>
      <c r="CI105" s="268">
        <f t="shared" si="58"/>
        <v>0</v>
      </c>
      <c r="CJ105" s="103">
        <f>SUM(CJ6:CJ104)</f>
        <v>0</v>
      </c>
      <c r="CK105" s="29">
        <f t="shared" si="58"/>
        <v>0</v>
      </c>
      <c r="CL105" s="30">
        <f t="shared" si="58"/>
        <v>0</v>
      </c>
      <c r="CM105" s="31">
        <f t="shared" si="58"/>
        <v>0</v>
      </c>
      <c r="CN105" s="268">
        <f t="shared" si="58"/>
        <v>0</v>
      </c>
      <c r="CO105" s="103">
        <f>SUM(CO6:CO104)</f>
        <v>0</v>
      </c>
      <c r="CP105" s="29">
        <f t="shared" si="58"/>
        <v>0</v>
      </c>
      <c r="CQ105" s="30">
        <f t="shared" si="58"/>
        <v>0</v>
      </c>
      <c r="CR105" s="31">
        <f t="shared" si="58"/>
        <v>0</v>
      </c>
      <c r="CS105" s="268">
        <f t="shared" si="58"/>
        <v>0</v>
      </c>
      <c r="CT105" s="103">
        <f t="shared" si="58"/>
        <v>0</v>
      </c>
      <c r="CU105" s="30">
        <f t="shared" si="58"/>
        <v>0</v>
      </c>
      <c r="CV105" s="30">
        <f>SUM(CV6:CV104)</f>
        <v>0</v>
      </c>
      <c r="CW105" s="30">
        <f>SUM(CW6:CW104)</f>
        <v>0</v>
      </c>
      <c r="CX105" s="103">
        <f>SUM(CX6:CX104)</f>
        <v>0</v>
      </c>
      <c r="CY105" s="29">
        <f t="shared" si="58"/>
        <v>322117.8</v>
      </c>
      <c r="CZ105" s="30">
        <f>SUM(CZ6:CZ104)</f>
        <v>0</v>
      </c>
      <c r="DA105" s="30">
        <f>SUM(DA6:DA104)</f>
        <v>0</v>
      </c>
      <c r="DB105" s="103">
        <f>SUM(DB6:DB104)</f>
        <v>0</v>
      </c>
    </row>
    <row r="106" spans="1:110" ht="15.75" thickTop="1" x14ac:dyDescent="0.25">
      <c r="A106" s="39"/>
      <c r="B106" s="39"/>
      <c r="C106" s="12"/>
      <c r="D106" s="191"/>
      <c r="E106" s="130"/>
      <c r="F106" s="405"/>
      <c r="G106" s="190"/>
      <c r="H106" s="190"/>
      <c r="I106" s="130"/>
      <c r="J106" s="358"/>
      <c r="K106" s="130"/>
      <c r="L106" s="192"/>
      <c r="M106" s="58"/>
      <c r="N106" s="58"/>
      <c r="O106" s="58">
        <f>N105+O105</f>
        <v>116911584.84</v>
      </c>
      <c r="P106" s="58"/>
      <c r="Q106" s="58"/>
      <c r="R106" s="58"/>
      <c r="S106" s="58">
        <f>R105+S105</f>
        <v>9590736.2200000007</v>
      </c>
      <c r="T106" s="58"/>
      <c r="U106" s="58"/>
      <c r="V106" s="58"/>
      <c r="W106" s="58">
        <f>V105+W105</f>
        <v>30597002.690000001</v>
      </c>
      <c r="X106" s="58"/>
      <c r="Y106" s="58"/>
      <c r="Z106" s="58"/>
      <c r="AA106" s="58">
        <f>Z105+AA105</f>
        <v>76723845.929999992</v>
      </c>
      <c r="AB106" s="58"/>
      <c r="AC106" s="58"/>
      <c r="AD106" s="58"/>
      <c r="AE106" s="58">
        <f>AD105+AE105</f>
        <v>0</v>
      </c>
      <c r="AF106" s="39"/>
      <c r="AG106" s="39"/>
      <c r="AH106" s="416" t="s">
        <v>298</v>
      </c>
      <c r="AI106" s="193"/>
      <c r="AJ106" s="193"/>
      <c r="AK106" s="194"/>
      <c r="AL106" s="195"/>
      <c r="AM106" s="39"/>
      <c r="AN106" s="196" t="s">
        <v>109</v>
      </c>
      <c r="AO106" s="197">
        <f>SUM(AN105:AO105)</f>
        <v>2919495.8</v>
      </c>
      <c r="AP106" s="130"/>
      <c r="AQ106" s="198"/>
      <c r="AR106" s="39"/>
      <c r="AS106" s="39"/>
      <c r="AT106" s="198">
        <f>SUM(AS105:AT105)</f>
        <v>2241190.62</v>
      </c>
      <c r="AU106" s="130"/>
      <c r="AV106" s="198"/>
      <c r="AW106" s="39"/>
      <c r="AX106" s="39"/>
      <c r="AY106" s="198">
        <f>SUM(AX105:AY105)</f>
        <v>4107932</v>
      </c>
      <c r="AZ106" s="130"/>
      <c r="BA106" s="198"/>
      <c r="BB106" s="39"/>
      <c r="BC106" s="39"/>
      <c r="BD106" s="198">
        <f>SUM(BC105:BD105)</f>
        <v>1848838.67</v>
      </c>
      <c r="BE106" s="130"/>
      <c r="BF106" s="198"/>
      <c r="BG106" s="39"/>
      <c r="BH106" s="39"/>
      <c r="BI106" s="198">
        <f>SUM(BH105:BI105)</f>
        <v>22281976.310000002</v>
      </c>
      <c r="BJ106" s="130"/>
      <c r="BK106" s="198"/>
      <c r="BL106" s="39"/>
      <c r="BM106" s="39"/>
      <c r="BN106" s="198">
        <f>SUM(BM105:BN105)</f>
        <v>6466187.709999999</v>
      </c>
      <c r="BO106" s="130"/>
      <c r="BP106" s="198"/>
      <c r="BQ106" s="130"/>
      <c r="BR106" s="130"/>
      <c r="BS106" s="130">
        <f>SUM(BR105:BS105)</f>
        <v>39734361.93</v>
      </c>
      <c r="BT106" s="130"/>
      <c r="BU106" s="198"/>
      <c r="BV106" s="39"/>
      <c r="BW106" s="39"/>
      <c r="BX106" s="198">
        <f>SUM(BW105:BX105)</f>
        <v>12624843.25</v>
      </c>
      <c r="BY106" s="130"/>
      <c r="BZ106" s="198"/>
      <c r="CA106" s="39"/>
      <c r="CB106" s="39"/>
      <c r="CC106" s="198">
        <f>SUM(CB105:CC105)</f>
        <v>24364640.75</v>
      </c>
      <c r="CD106" s="130"/>
      <c r="CE106" s="198"/>
      <c r="CF106" s="39"/>
      <c r="CG106" s="39"/>
      <c r="CH106" s="198">
        <f>SUM(CG105:CH105)</f>
        <v>0</v>
      </c>
      <c r="CI106" s="130"/>
      <c r="CJ106" s="198"/>
      <c r="CK106" s="39"/>
      <c r="CL106" s="39"/>
      <c r="CM106" s="198">
        <f>SUM(CL105:CM105)</f>
        <v>0</v>
      </c>
      <c r="CN106" s="130"/>
      <c r="CO106" s="198"/>
      <c r="CP106" s="39"/>
      <c r="CQ106" s="39"/>
      <c r="CR106" s="198">
        <f>SUM(CQ105:CR105)</f>
        <v>0</v>
      </c>
      <c r="CS106" s="130"/>
      <c r="CT106" s="198"/>
      <c r="CU106" s="199"/>
      <c r="CV106" s="199"/>
      <c r="CW106" s="199"/>
      <c r="CX106" s="199"/>
      <c r="CY106" s="122"/>
      <c r="CZ106" s="122"/>
      <c r="DA106" s="122"/>
      <c r="DB106" s="122"/>
    </row>
    <row r="107" spans="1:110" x14ac:dyDescent="0.25">
      <c r="A107" s="38"/>
      <c r="B107" s="38"/>
      <c r="C107" s="200"/>
      <c r="E107" s="123"/>
      <c r="M107" s="38"/>
      <c r="N107" s="59"/>
      <c r="O107" s="60"/>
      <c r="P107" s="60"/>
      <c r="Q107" s="38"/>
      <c r="R107" s="59"/>
      <c r="S107" s="60"/>
      <c r="T107" s="60"/>
      <c r="U107" s="38"/>
      <c r="V107" s="59"/>
      <c r="W107" s="60"/>
      <c r="X107" s="60"/>
      <c r="Y107" s="38"/>
      <c r="Z107" s="59"/>
      <c r="AA107" s="60"/>
      <c r="AB107" s="60"/>
      <c r="AC107" s="38"/>
      <c r="AD107" s="59"/>
      <c r="AE107" s="60"/>
      <c r="AF107" s="60"/>
      <c r="AG107" s="60"/>
      <c r="AH107" s="417"/>
      <c r="AI107" s="202"/>
      <c r="AJ107" s="202"/>
      <c r="AL107" s="204"/>
      <c r="AM107" s="38"/>
      <c r="AN107" s="205"/>
      <c r="AO107" s="206"/>
      <c r="AQ107" s="207"/>
      <c r="AR107" s="38"/>
      <c r="AS107" s="38"/>
      <c r="AT107" s="38"/>
      <c r="AV107" s="207"/>
      <c r="AW107" s="38"/>
      <c r="AX107" s="38"/>
      <c r="AY107" s="38"/>
      <c r="BA107" s="207"/>
      <c r="BB107" s="38"/>
      <c r="BC107" s="38"/>
      <c r="BD107" s="38"/>
      <c r="BF107" s="207"/>
      <c r="BG107" s="38"/>
      <c r="BH107" s="38"/>
      <c r="BI107" s="38"/>
      <c r="BK107" s="207"/>
      <c r="BL107" s="207"/>
      <c r="BM107" s="207"/>
      <c r="BN107" s="207"/>
      <c r="BP107" s="207"/>
      <c r="BU107" s="207"/>
      <c r="BV107" s="38"/>
      <c r="BW107" s="38"/>
      <c r="BX107" s="38"/>
      <c r="BZ107" s="207"/>
      <c r="CA107" s="38"/>
      <c r="CB107" s="38"/>
      <c r="CC107" s="38"/>
      <c r="CE107" s="207"/>
      <c r="CF107" s="38"/>
      <c r="CG107" s="39"/>
      <c r="CH107" s="38"/>
      <c r="CJ107" s="207"/>
      <c r="CK107" s="38"/>
      <c r="CL107" s="38"/>
      <c r="CM107" s="38"/>
      <c r="CO107" s="207"/>
      <c r="CP107" s="38"/>
      <c r="CQ107" s="38"/>
      <c r="CR107" s="38"/>
      <c r="CT107" s="207"/>
    </row>
    <row r="108" spans="1:110" x14ac:dyDescent="0.25">
      <c r="A108" s="38"/>
      <c r="B108" s="38"/>
      <c r="C108" s="200"/>
      <c r="E108" s="123"/>
      <c r="M108" s="38"/>
      <c r="N108" s="59"/>
      <c r="O108" s="60"/>
      <c r="P108" s="60"/>
      <c r="Q108" s="38"/>
      <c r="R108" s="59"/>
      <c r="S108" s="60"/>
      <c r="T108" s="60"/>
      <c r="U108" s="38"/>
      <c r="V108" s="59"/>
      <c r="W108" s="60"/>
      <c r="X108" s="60"/>
      <c r="Y108" s="38"/>
      <c r="Z108" s="59"/>
      <c r="AA108" s="60"/>
      <c r="AB108" s="60"/>
      <c r="AC108" s="38"/>
      <c r="AD108" s="59"/>
      <c r="AE108" s="60"/>
      <c r="AF108" s="60"/>
      <c r="AG108" s="60"/>
      <c r="AI108" s="418"/>
      <c r="AJ108" s="202"/>
      <c r="AL108" s="204"/>
      <c r="AM108" s="38"/>
      <c r="AN108" s="205"/>
      <c r="AO108" s="206"/>
      <c r="AQ108" s="207"/>
      <c r="AR108" s="38"/>
      <c r="AS108" s="38"/>
      <c r="AT108" s="38"/>
      <c r="AV108" s="207"/>
      <c r="AW108" s="38"/>
      <c r="AX108" s="38"/>
      <c r="AY108" s="38"/>
      <c r="BA108" s="207"/>
      <c r="BB108" s="38"/>
      <c r="BC108" s="38"/>
      <c r="BD108" s="38"/>
      <c r="BF108" s="207"/>
      <c r="BG108" s="38"/>
      <c r="BH108" s="38"/>
      <c r="BI108" s="38"/>
      <c r="BK108" s="207"/>
      <c r="BL108" s="207"/>
      <c r="BM108" s="207"/>
      <c r="BN108" s="207"/>
      <c r="BP108" s="207"/>
      <c r="BU108" s="207"/>
      <c r="BV108" s="38"/>
      <c r="BW108" s="38"/>
      <c r="BX108" s="38"/>
      <c r="BZ108" s="207"/>
      <c r="CA108" s="38"/>
      <c r="CB108" s="38"/>
      <c r="CC108" s="38"/>
      <c r="CE108" s="207"/>
      <c r="CF108" s="38"/>
      <c r="CG108" s="39"/>
      <c r="CH108" s="38"/>
      <c r="CJ108" s="207"/>
      <c r="CK108" s="38"/>
      <c r="CL108" s="38"/>
      <c r="CM108" s="38"/>
      <c r="CO108" s="207"/>
      <c r="CP108" s="38"/>
      <c r="CQ108" s="38"/>
      <c r="CR108" s="38"/>
      <c r="CT108" s="207"/>
    </row>
    <row r="109" spans="1:110" x14ac:dyDescent="0.25">
      <c r="A109" s="38"/>
      <c r="B109" s="38"/>
      <c r="C109" s="200"/>
      <c r="E109" s="123"/>
      <c r="M109" s="38"/>
      <c r="N109" s="59"/>
      <c r="O109" s="60"/>
      <c r="P109" s="60"/>
      <c r="Q109" s="38"/>
      <c r="R109" s="59"/>
      <c r="S109" s="60"/>
      <c r="T109" s="60"/>
      <c r="U109" s="38"/>
      <c r="V109" s="59"/>
      <c r="W109" s="60"/>
      <c r="X109" s="60"/>
      <c r="Y109" s="38"/>
      <c r="Z109" s="59"/>
      <c r="AA109" s="60"/>
      <c r="AB109" s="60"/>
      <c r="AC109" s="38"/>
      <c r="AD109" s="59"/>
      <c r="AE109" s="60"/>
      <c r="AF109" s="60"/>
      <c r="AG109" s="60"/>
      <c r="AH109" s="60"/>
      <c r="AI109" s="202"/>
      <c r="AJ109" s="202"/>
      <c r="AL109" s="204"/>
      <c r="AM109" s="38"/>
      <c r="AN109" s="205"/>
      <c r="AO109" s="206"/>
      <c r="AQ109" s="207"/>
      <c r="AR109" s="38"/>
      <c r="AS109" s="38"/>
      <c r="AT109" s="38"/>
      <c r="AV109" s="207"/>
      <c r="AW109" s="38"/>
      <c r="AX109" s="38"/>
      <c r="AY109" s="38"/>
      <c r="BA109" s="207"/>
      <c r="BB109" s="38"/>
      <c r="BC109" s="38"/>
      <c r="BD109" s="38"/>
      <c r="BF109" s="207"/>
      <c r="BG109" s="38"/>
      <c r="BH109" s="38"/>
      <c r="BI109" s="38"/>
      <c r="BK109" s="207"/>
      <c r="BL109" s="207"/>
      <c r="BM109" s="207"/>
      <c r="BN109" s="207"/>
      <c r="BP109" s="207"/>
      <c r="BU109" s="207"/>
      <c r="BV109" s="38"/>
      <c r="BW109" s="38"/>
      <c r="BX109" s="38"/>
      <c r="BZ109" s="207"/>
      <c r="CA109" s="38"/>
      <c r="CB109" s="38"/>
      <c r="CC109" s="38"/>
      <c r="CE109" s="207"/>
      <c r="CF109" s="38"/>
      <c r="CG109" s="39"/>
      <c r="CH109" s="38"/>
      <c r="CJ109" s="207"/>
      <c r="CK109" s="38"/>
      <c r="CL109" s="38"/>
      <c r="CM109" s="38"/>
      <c r="CO109" s="207"/>
      <c r="CP109" s="38"/>
      <c r="CQ109" s="38"/>
      <c r="CR109" s="38"/>
      <c r="CT109" s="207"/>
    </row>
    <row r="110" spans="1:110" x14ac:dyDescent="0.25">
      <c r="AH110" s="144"/>
      <c r="AR110" s="212"/>
      <c r="CH110" s="209"/>
    </row>
    <row r="111" spans="1:110" x14ac:dyDescent="0.25">
      <c r="CW111" s="213"/>
    </row>
    <row r="113" spans="19:22" x14ac:dyDescent="0.25">
      <c r="S113" s="144"/>
      <c r="T113" s="144"/>
      <c r="U113" s="144"/>
      <c r="V113" s="144"/>
    </row>
  </sheetData>
  <mergeCells count="39">
    <mergeCell ref="E3:H3"/>
    <mergeCell ref="AI3:AI5"/>
    <mergeCell ref="I3:I5"/>
    <mergeCell ref="J3:J5"/>
    <mergeCell ref="K3:K5"/>
    <mergeCell ref="AH3:AH5"/>
    <mergeCell ref="AG3:AG5"/>
    <mergeCell ref="L3:L5"/>
    <mergeCell ref="M4:P4"/>
    <mergeCell ref="Q4:T4"/>
    <mergeCell ref="Q3:T3"/>
    <mergeCell ref="AC3:AF3"/>
    <mergeCell ref="AC4:AF4"/>
    <mergeCell ref="M3:P3"/>
    <mergeCell ref="Y3:AB3"/>
    <mergeCell ref="Y4:AB4"/>
    <mergeCell ref="U3:X3"/>
    <mergeCell ref="U4:X4"/>
    <mergeCell ref="AW4:BA4"/>
    <mergeCell ref="AR4:AV4"/>
    <mergeCell ref="AM4:AQ4"/>
    <mergeCell ref="AM3:CT3"/>
    <mergeCell ref="BQ4:BU4"/>
    <mergeCell ref="BV4:BZ4"/>
    <mergeCell ref="CA4:CE4"/>
    <mergeCell ref="CF4:CJ4"/>
    <mergeCell ref="CK4:CO4"/>
    <mergeCell ref="CP4:CT4"/>
    <mergeCell ref="BL4:BP4"/>
    <mergeCell ref="BG4:BK4"/>
    <mergeCell ref="BB4:BF4"/>
    <mergeCell ref="DB3:DB4"/>
    <mergeCell ref="CU3:CU4"/>
    <mergeCell ref="CV3:CV4"/>
    <mergeCell ref="CW3:CW4"/>
    <mergeCell ref="CX3:CX4"/>
    <mergeCell ref="CZ3:CZ4"/>
    <mergeCell ref="DA3:DA4"/>
    <mergeCell ref="CY3:CY4"/>
  </mergeCells>
  <phoneticPr fontId="20" type="noConversion"/>
  <printOptions headings="1"/>
  <pageMargins left="0.7" right="0.7" top="0.75" bottom="0.75" header="0.3" footer="0.3"/>
  <pageSetup paperSize="5" scale="66" fitToHeight="0" orientation="landscape" r:id="rId1"/>
  <headerFooter>
    <oddFooter>&amp;C&amp;"Arial,Regular"&amp;8Page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2AE6B-086E-431A-8C9B-0D91FF9CB282}">
  <dimension ref="A1:I113"/>
  <sheetViews>
    <sheetView topLeftCell="A86" workbookViewId="0">
      <selection activeCell="D110" sqref="D110"/>
    </sheetView>
  </sheetViews>
  <sheetFormatPr defaultRowHeight="15" x14ac:dyDescent="0.25"/>
  <cols>
    <col min="1" max="1" width="10.28515625" customWidth="1"/>
    <col min="2" max="2" width="16.85546875" bestFit="1" customWidth="1"/>
    <col min="3" max="3" width="14.42578125" bestFit="1" customWidth="1"/>
    <col min="4" max="7" width="15.28515625" bestFit="1" customWidth="1"/>
  </cols>
  <sheetData>
    <row r="1" spans="1:9" x14ac:dyDescent="0.25">
      <c r="C1" s="444" t="s">
        <v>302</v>
      </c>
    </row>
    <row r="2" spans="1:9" x14ac:dyDescent="0.25">
      <c r="A2" s="134" t="s">
        <v>303</v>
      </c>
      <c r="B2" s="134"/>
      <c r="C2" s="134"/>
      <c r="D2" t="s">
        <v>229</v>
      </c>
      <c r="E2" t="s">
        <v>228</v>
      </c>
      <c r="F2" s="115" t="s">
        <v>227</v>
      </c>
      <c r="G2" t="s">
        <v>226</v>
      </c>
    </row>
    <row r="3" spans="1:9" ht="30" x14ac:dyDescent="0.25">
      <c r="A3" s="114" t="s">
        <v>225</v>
      </c>
      <c r="B3" s="113" t="s">
        <v>224</v>
      </c>
      <c r="C3" s="133" t="s">
        <v>235</v>
      </c>
      <c r="D3" s="51"/>
      <c r="E3" s="420" t="s">
        <v>295</v>
      </c>
      <c r="F3" s="51"/>
      <c r="G3" s="51"/>
    </row>
    <row r="4" spans="1:9" x14ac:dyDescent="0.25">
      <c r="A4" s="112">
        <v>1</v>
      </c>
      <c r="B4" s="110" t="s">
        <v>223</v>
      </c>
      <c r="C4" s="454">
        <v>0.77983272000000003</v>
      </c>
      <c r="D4" s="473">
        <v>299201.09000000003</v>
      </c>
      <c r="E4" s="355">
        <v>328184.09000000003</v>
      </c>
      <c r="F4" s="355"/>
      <c r="G4" s="355"/>
      <c r="I4">
        <v>1</v>
      </c>
    </row>
    <row r="5" spans="1:9" x14ac:dyDescent="0.25">
      <c r="A5" s="111">
        <v>2</v>
      </c>
      <c r="B5" s="110" t="s">
        <v>222</v>
      </c>
      <c r="C5" s="451">
        <v>0.60098980000000002</v>
      </c>
      <c r="D5" s="473">
        <v>230583.81</v>
      </c>
      <c r="E5" s="355">
        <v>252920</v>
      </c>
      <c r="F5" s="355"/>
      <c r="G5" s="355"/>
      <c r="I5">
        <v>2</v>
      </c>
    </row>
    <row r="6" spans="1:9" x14ac:dyDescent="0.25">
      <c r="A6" s="111">
        <v>3</v>
      </c>
      <c r="B6" s="110" t="s">
        <v>221</v>
      </c>
      <c r="C6" s="451">
        <v>1.01117696</v>
      </c>
      <c r="D6" s="473">
        <v>387961.72</v>
      </c>
      <c r="E6" s="355">
        <v>425542.78</v>
      </c>
      <c r="F6" s="355"/>
      <c r="G6" s="355"/>
      <c r="I6">
        <v>3</v>
      </c>
    </row>
    <row r="7" spans="1:9" x14ac:dyDescent="0.25">
      <c r="A7" s="111">
        <v>4</v>
      </c>
      <c r="B7" s="110" t="s">
        <v>220</v>
      </c>
      <c r="C7" s="452">
        <v>0.81465805999999996</v>
      </c>
      <c r="D7" s="473">
        <v>312562.65000000002</v>
      </c>
      <c r="E7" s="355">
        <v>342839.95</v>
      </c>
      <c r="F7" s="355"/>
      <c r="G7" s="355"/>
      <c r="I7">
        <v>4</v>
      </c>
    </row>
    <row r="8" spans="1:9" x14ac:dyDescent="0.25">
      <c r="A8" s="111">
        <v>5</v>
      </c>
      <c r="B8" s="110" t="s">
        <v>219</v>
      </c>
      <c r="C8" s="452">
        <v>0.68308234000000001</v>
      </c>
      <c r="D8" s="473">
        <v>262080.54</v>
      </c>
      <c r="E8" s="355">
        <v>287467.75</v>
      </c>
      <c r="F8" s="355"/>
      <c r="G8" s="355"/>
      <c r="I8">
        <v>5</v>
      </c>
    </row>
    <row r="9" spans="1:9" x14ac:dyDescent="0.25">
      <c r="A9" s="111">
        <v>6</v>
      </c>
      <c r="B9" s="110" t="s">
        <v>218</v>
      </c>
      <c r="C9" s="452">
        <v>1.31308271</v>
      </c>
      <c r="D9" s="473">
        <v>503794.94</v>
      </c>
      <c r="E9" s="355">
        <v>552596.52</v>
      </c>
      <c r="F9" s="355"/>
      <c r="G9" s="355"/>
      <c r="I9">
        <v>6</v>
      </c>
    </row>
    <row r="10" spans="1:9" x14ac:dyDescent="0.25">
      <c r="A10" s="111">
        <v>7</v>
      </c>
      <c r="B10" s="110" t="s">
        <v>217</v>
      </c>
      <c r="C10" s="451">
        <v>1.2776672</v>
      </c>
      <c r="D10" s="473">
        <v>490206.95</v>
      </c>
      <c r="E10" s="355">
        <v>537692.29</v>
      </c>
      <c r="F10" s="355"/>
      <c r="G10" s="355"/>
      <c r="I10">
        <v>7</v>
      </c>
    </row>
    <row r="11" spans="1:9" x14ac:dyDescent="0.25">
      <c r="A11" s="111">
        <v>8</v>
      </c>
      <c r="B11" s="110" t="s">
        <v>216</v>
      </c>
      <c r="C11" s="451">
        <v>1.06917006</v>
      </c>
      <c r="D11" s="473">
        <v>410212.14</v>
      </c>
      <c r="E11" s="355">
        <v>449948.55</v>
      </c>
      <c r="F11" s="355"/>
      <c r="G11" s="355"/>
      <c r="I11">
        <v>8</v>
      </c>
    </row>
    <row r="12" spans="1:9" x14ac:dyDescent="0.25">
      <c r="A12" s="111">
        <v>9</v>
      </c>
      <c r="B12" s="110" t="s">
        <v>215</v>
      </c>
      <c r="C12" s="451">
        <v>0.83128433000000002</v>
      </c>
      <c r="D12" s="473">
        <v>318941.7</v>
      </c>
      <c r="E12" s="355">
        <v>349836.94</v>
      </c>
      <c r="F12" s="355"/>
      <c r="G12" s="355"/>
      <c r="I12">
        <v>9</v>
      </c>
    </row>
    <row r="13" spans="1:9" x14ac:dyDescent="0.25">
      <c r="A13" s="111">
        <v>10</v>
      </c>
      <c r="B13" s="110" t="s">
        <v>214</v>
      </c>
      <c r="C13" s="452">
        <v>1.18417562</v>
      </c>
      <c r="D13" s="473">
        <v>454336.71</v>
      </c>
      <c r="E13" s="355">
        <v>498347.38</v>
      </c>
      <c r="F13" s="355"/>
      <c r="G13" s="355"/>
      <c r="I13">
        <v>10</v>
      </c>
    </row>
    <row r="14" spans="1:9" x14ac:dyDescent="0.25">
      <c r="A14" s="111">
        <v>11</v>
      </c>
      <c r="B14" s="110" t="s">
        <v>213</v>
      </c>
      <c r="C14" s="452">
        <v>0.95430641999999999</v>
      </c>
      <c r="D14" s="473">
        <v>366142.01</v>
      </c>
      <c r="E14" s="355">
        <v>401609.44</v>
      </c>
      <c r="F14" s="355"/>
      <c r="G14" s="355"/>
      <c r="I14">
        <v>11</v>
      </c>
    </row>
    <row r="15" spans="1:9" x14ac:dyDescent="0.25">
      <c r="A15" s="111">
        <v>12</v>
      </c>
      <c r="B15" s="110" t="s">
        <v>212</v>
      </c>
      <c r="C15" s="452">
        <v>1.0448031900000001</v>
      </c>
      <c r="D15" s="473">
        <v>400863.21</v>
      </c>
      <c r="E15" s="355">
        <v>439694</v>
      </c>
      <c r="F15" s="355"/>
      <c r="G15" s="355"/>
      <c r="I15">
        <v>12</v>
      </c>
    </row>
    <row r="16" spans="1:9" x14ac:dyDescent="0.25">
      <c r="A16" s="111">
        <v>13</v>
      </c>
      <c r="B16" s="110" t="s">
        <v>211</v>
      </c>
      <c r="C16" s="451">
        <v>0.88914409000000005</v>
      </c>
      <c r="D16" s="473">
        <v>341140.96</v>
      </c>
      <c r="E16" s="355">
        <v>374186.58</v>
      </c>
      <c r="F16" s="355"/>
      <c r="G16" s="355"/>
      <c r="I16">
        <v>13</v>
      </c>
    </row>
    <row r="17" spans="1:9" x14ac:dyDescent="0.25">
      <c r="A17" s="111">
        <v>14</v>
      </c>
      <c r="B17" s="110" t="s">
        <v>210</v>
      </c>
      <c r="C17" s="451">
        <v>1.0035048900000001</v>
      </c>
      <c r="D17" s="473">
        <v>385018.16</v>
      </c>
      <c r="E17" s="355">
        <v>422314.08</v>
      </c>
      <c r="F17" s="355"/>
      <c r="G17" s="355"/>
      <c r="I17">
        <v>14</v>
      </c>
    </row>
    <row r="18" spans="1:9" x14ac:dyDescent="0.25">
      <c r="A18" s="111">
        <v>15</v>
      </c>
      <c r="B18" s="110" t="s">
        <v>209</v>
      </c>
      <c r="C18" s="451">
        <v>0.77578468</v>
      </c>
      <c r="D18" s="473">
        <v>297647.96000000002</v>
      </c>
      <c r="E18" s="355">
        <v>326480.51</v>
      </c>
      <c r="F18" s="355"/>
      <c r="G18" s="355"/>
      <c r="I18">
        <v>15</v>
      </c>
    </row>
    <row r="19" spans="1:9" x14ac:dyDescent="0.25">
      <c r="A19" s="111">
        <v>16</v>
      </c>
      <c r="B19" s="110" t="s">
        <v>208</v>
      </c>
      <c r="C19" s="452">
        <v>1.10558165</v>
      </c>
      <c r="D19" s="473">
        <v>424182.3</v>
      </c>
      <c r="E19" s="355">
        <v>465271.96</v>
      </c>
      <c r="F19" s="355"/>
      <c r="G19" s="355"/>
      <c r="I19">
        <v>16</v>
      </c>
    </row>
    <row r="20" spans="1:9" x14ac:dyDescent="0.25">
      <c r="A20" s="111">
        <v>17</v>
      </c>
      <c r="B20" s="110" t="s">
        <v>207</v>
      </c>
      <c r="C20" s="452">
        <v>1.0575189899999999</v>
      </c>
      <c r="D20" s="473">
        <v>405741.93</v>
      </c>
      <c r="E20" s="355">
        <v>445045.32</v>
      </c>
      <c r="F20" s="355"/>
      <c r="G20" s="355"/>
      <c r="I20">
        <v>17</v>
      </c>
    </row>
    <row r="21" spans="1:9" x14ac:dyDescent="0.25">
      <c r="A21" s="111">
        <v>18</v>
      </c>
      <c r="B21" s="110" t="s">
        <v>206</v>
      </c>
      <c r="C21" s="452">
        <v>0.94660902000000002</v>
      </c>
      <c r="D21" s="473">
        <v>363188.72</v>
      </c>
      <c r="E21" s="355">
        <v>398370.07</v>
      </c>
      <c r="F21" s="355"/>
      <c r="G21" s="355"/>
      <c r="I21">
        <v>18</v>
      </c>
    </row>
    <row r="22" spans="1:9" x14ac:dyDescent="0.25">
      <c r="A22" s="111">
        <v>19</v>
      </c>
      <c r="B22" s="110" t="s">
        <v>205</v>
      </c>
      <c r="C22" s="451">
        <v>0.85072375</v>
      </c>
      <c r="D22" s="473">
        <v>326400.09000000003</v>
      </c>
      <c r="E22" s="355">
        <v>358017.81</v>
      </c>
      <c r="F22" s="355"/>
      <c r="G22" s="355"/>
      <c r="I22">
        <v>19</v>
      </c>
    </row>
    <row r="23" spans="1:9" x14ac:dyDescent="0.25">
      <c r="A23" s="111">
        <v>20</v>
      </c>
      <c r="B23" s="110" t="s">
        <v>204</v>
      </c>
      <c r="C23" s="451">
        <v>0.62383537</v>
      </c>
      <c r="D23" s="473">
        <v>239349.05</v>
      </c>
      <c r="E23" s="355">
        <v>262534.3</v>
      </c>
      <c r="F23" s="355"/>
      <c r="G23" s="355"/>
      <c r="I23">
        <v>20</v>
      </c>
    </row>
    <row r="24" spans="1:9" x14ac:dyDescent="0.25">
      <c r="A24" s="111">
        <v>21</v>
      </c>
      <c r="B24" s="110" t="s">
        <v>203</v>
      </c>
      <c r="C24" s="451">
        <v>0.95468629999999999</v>
      </c>
      <c r="D24" s="473">
        <v>366287.76</v>
      </c>
      <c r="E24" s="355">
        <v>401769.31</v>
      </c>
      <c r="F24" s="355"/>
      <c r="G24" s="355"/>
      <c r="I24">
        <v>21</v>
      </c>
    </row>
    <row r="25" spans="1:9" x14ac:dyDescent="0.25">
      <c r="A25" s="111">
        <v>22</v>
      </c>
      <c r="B25" s="110" t="s">
        <v>202</v>
      </c>
      <c r="C25" s="452">
        <v>1.2578186099999999</v>
      </c>
      <c r="D25" s="473">
        <v>482591.57</v>
      </c>
      <c r="E25" s="355">
        <v>529339.23</v>
      </c>
      <c r="F25" s="355"/>
      <c r="G25" s="355"/>
      <c r="I25">
        <v>22</v>
      </c>
    </row>
    <row r="26" spans="1:9" x14ac:dyDescent="0.25">
      <c r="A26" s="111">
        <v>23</v>
      </c>
      <c r="B26" s="110" t="s">
        <v>201</v>
      </c>
      <c r="C26" s="452">
        <v>1.2317376</v>
      </c>
      <c r="D26" s="473">
        <v>472584.98</v>
      </c>
      <c r="E26" s="355">
        <v>518363.32</v>
      </c>
      <c r="F26" s="355"/>
      <c r="G26" s="355"/>
      <c r="I26">
        <v>23</v>
      </c>
    </row>
    <row r="27" spans="1:9" x14ac:dyDescent="0.25">
      <c r="A27" s="111">
        <v>24</v>
      </c>
      <c r="B27" s="110" t="s">
        <v>200</v>
      </c>
      <c r="C27" s="452">
        <v>1.02446317</v>
      </c>
      <c r="D27" s="473">
        <v>393059.29</v>
      </c>
      <c r="E27" s="355">
        <v>431134.14</v>
      </c>
      <c r="F27" s="355"/>
      <c r="G27" s="355"/>
      <c r="I27">
        <v>24</v>
      </c>
    </row>
    <row r="28" spans="1:9" x14ac:dyDescent="0.25">
      <c r="A28" s="111">
        <v>25</v>
      </c>
      <c r="B28" s="110" t="s">
        <v>199</v>
      </c>
      <c r="C28" s="451">
        <v>1.20732927</v>
      </c>
      <c r="D28" s="473">
        <v>463220.15</v>
      </c>
      <c r="E28" s="355">
        <v>508091.34</v>
      </c>
      <c r="F28" s="355"/>
      <c r="G28" s="355"/>
      <c r="I28">
        <v>25</v>
      </c>
    </row>
    <row r="29" spans="1:9" x14ac:dyDescent="0.25">
      <c r="A29" s="111">
        <v>26</v>
      </c>
      <c r="B29" s="110" t="s">
        <v>198</v>
      </c>
      <c r="C29" s="451">
        <v>0.83706981999999996</v>
      </c>
      <c r="D29" s="473">
        <v>321161.44</v>
      </c>
      <c r="E29" s="355">
        <v>352271.69</v>
      </c>
      <c r="F29" s="355"/>
      <c r="G29" s="355"/>
      <c r="I29">
        <v>26</v>
      </c>
    </row>
    <row r="30" spans="1:9" x14ac:dyDescent="0.25">
      <c r="A30" s="111">
        <v>27</v>
      </c>
      <c r="B30" s="110" t="s">
        <v>197</v>
      </c>
      <c r="C30" s="451">
        <v>0.85277495000000003</v>
      </c>
      <c r="D30" s="473">
        <v>327187.08</v>
      </c>
      <c r="E30" s="355">
        <v>358881.03</v>
      </c>
      <c r="F30" s="355"/>
      <c r="G30" s="355"/>
      <c r="I30">
        <v>27</v>
      </c>
    </row>
    <row r="31" spans="1:9" x14ac:dyDescent="0.25">
      <c r="A31" s="111">
        <v>28</v>
      </c>
      <c r="B31" s="110" t="s">
        <v>196</v>
      </c>
      <c r="C31" s="452">
        <v>1.1034123300000001</v>
      </c>
      <c r="D31" s="473">
        <v>423349.98</v>
      </c>
      <c r="E31" s="355">
        <v>464359.03</v>
      </c>
      <c r="F31" s="355"/>
      <c r="G31" s="355"/>
      <c r="I31">
        <v>28</v>
      </c>
    </row>
    <row r="32" spans="1:9" x14ac:dyDescent="0.25">
      <c r="A32" s="111">
        <v>29</v>
      </c>
      <c r="B32" s="110" t="s">
        <v>195</v>
      </c>
      <c r="C32" s="452">
        <v>0.88117058999999998</v>
      </c>
      <c r="D32" s="473">
        <v>338081.74</v>
      </c>
      <c r="E32" s="355">
        <v>370831.02</v>
      </c>
      <c r="F32" s="355"/>
      <c r="G32" s="355"/>
      <c r="I32">
        <v>29</v>
      </c>
    </row>
    <row r="33" spans="1:9" x14ac:dyDescent="0.25">
      <c r="A33" s="111">
        <v>30</v>
      </c>
      <c r="B33" s="110" t="s">
        <v>194</v>
      </c>
      <c r="C33" s="452">
        <v>0.71346403999999997</v>
      </c>
      <c r="D33" s="473">
        <v>273737.19</v>
      </c>
      <c r="E33" s="355">
        <v>300253.55</v>
      </c>
      <c r="F33" s="355"/>
      <c r="G33" s="355"/>
      <c r="I33">
        <v>30</v>
      </c>
    </row>
    <row r="34" spans="1:9" x14ac:dyDescent="0.25">
      <c r="A34" s="111">
        <v>31</v>
      </c>
      <c r="B34" s="110" t="s">
        <v>193</v>
      </c>
      <c r="C34" s="451">
        <v>1.4974906800000001</v>
      </c>
      <c r="D34" s="473">
        <v>574547.37</v>
      </c>
      <c r="E34" s="355">
        <v>630202.61</v>
      </c>
      <c r="F34" s="355"/>
      <c r="G34" s="355"/>
      <c r="I34">
        <v>31</v>
      </c>
    </row>
    <row r="35" spans="1:9" x14ac:dyDescent="0.25">
      <c r="A35" s="111">
        <v>32</v>
      </c>
      <c r="B35" s="110" t="s">
        <v>192</v>
      </c>
      <c r="C35" s="451">
        <v>0.58310481000000003</v>
      </c>
      <c r="D35" s="473">
        <v>223721.82</v>
      </c>
      <c r="E35" s="355">
        <v>245393.29</v>
      </c>
      <c r="F35" s="355"/>
      <c r="G35" s="355"/>
      <c r="I35">
        <v>32</v>
      </c>
    </row>
    <row r="36" spans="1:9" x14ac:dyDescent="0.25">
      <c r="A36" s="111">
        <v>33</v>
      </c>
      <c r="B36" s="110" t="s">
        <v>191</v>
      </c>
      <c r="C36" s="451">
        <v>1.18098993</v>
      </c>
      <c r="D36" s="473">
        <v>453114.45</v>
      </c>
      <c r="E36" s="355">
        <v>497006.72</v>
      </c>
      <c r="F36" s="355"/>
      <c r="G36" s="355"/>
      <c r="I36">
        <v>33</v>
      </c>
    </row>
    <row r="37" spans="1:9" x14ac:dyDescent="0.25">
      <c r="A37" s="111">
        <v>34</v>
      </c>
      <c r="B37" s="110" t="s">
        <v>190</v>
      </c>
      <c r="C37" s="452">
        <v>0.88627308999999999</v>
      </c>
      <c r="D37" s="473">
        <v>340039.43</v>
      </c>
      <c r="E37" s="355">
        <v>372978.35</v>
      </c>
      <c r="F37" s="355"/>
      <c r="G37" s="355"/>
      <c r="I37">
        <v>34</v>
      </c>
    </row>
    <row r="38" spans="1:9" x14ac:dyDescent="0.25">
      <c r="A38" s="111">
        <v>35</v>
      </c>
      <c r="B38" s="110" t="s">
        <v>189</v>
      </c>
      <c r="C38" s="452">
        <v>0.98842956000000004</v>
      </c>
      <c r="D38" s="473">
        <v>379234.15</v>
      </c>
      <c r="E38" s="355">
        <v>415969.79</v>
      </c>
      <c r="F38" s="355"/>
      <c r="G38" s="355"/>
      <c r="I38">
        <v>35</v>
      </c>
    </row>
    <row r="39" spans="1:9" x14ac:dyDescent="0.25">
      <c r="A39" s="111">
        <v>36</v>
      </c>
      <c r="B39" s="110" t="s">
        <v>188</v>
      </c>
      <c r="C39" s="452">
        <v>0.84218097000000003</v>
      </c>
      <c r="D39" s="473">
        <v>323122.45</v>
      </c>
      <c r="E39" s="355">
        <v>354422.67</v>
      </c>
      <c r="F39" s="355"/>
      <c r="G39" s="355"/>
      <c r="I39">
        <v>36</v>
      </c>
    </row>
    <row r="40" spans="1:9" x14ac:dyDescent="0.25">
      <c r="A40" s="111">
        <v>37</v>
      </c>
      <c r="B40" s="110" t="s">
        <v>187</v>
      </c>
      <c r="C40" s="451">
        <v>0.89303885000000005</v>
      </c>
      <c r="D40" s="473">
        <v>342635.27</v>
      </c>
      <c r="E40" s="355">
        <v>375825.65</v>
      </c>
      <c r="F40" s="355"/>
      <c r="G40" s="355"/>
      <c r="I40">
        <v>37</v>
      </c>
    </row>
    <row r="41" spans="1:9" x14ac:dyDescent="0.25">
      <c r="A41" s="111">
        <v>38</v>
      </c>
      <c r="B41" s="110" t="s">
        <v>186</v>
      </c>
      <c r="C41" s="451">
        <v>0.89573002000000002</v>
      </c>
      <c r="D41" s="473">
        <v>343667.8</v>
      </c>
      <c r="E41" s="355">
        <v>376958.2</v>
      </c>
      <c r="F41" s="355"/>
      <c r="G41" s="355"/>
      <c r="I41">
        <v>38</v>
      </c>
    </row>
    <row r="42" spans="1:9" x14ac:dyDescent="0.25">
      <c r="A42" s="111">
        <v>39</v>
      </c>
      <c r="B42" s="110" t="s">
        <v>185</v>
      </c>
      <c r="C42" s="451">
        <v>0.94513307999999996</v>
      </c>
      <c r="D42" s="473">
        <v>362622.44</v>
      </c>
      <c r="E42" s="355">
        <v>397748.93</v>
      </c>
      <c r="F42" s="355"/>
      <c r="G42" s="355"/>
      <c r="I42">
        <v>39</v>
      </c>
    </row>
    <row r="43" spans="1:9" x14ac:dyDescent="0.25">
      <c r="A43" s="111">
        <v>40</v>
      </c>
      <c r="B43" s="110" t="s">
        <v>184</v>
      </c>
      <c r="C43" s="452">
        <v>0.93035372000000005</v>
      </c>
      <c r="D43" s="473">
        <v>356952</v>
      </c>
      <c r="E43" s="355">
        <v>391529.21</v>
      </c>
      <c r="F43" s="355"/>
      <c r="G43" s="355"/>
      <c r="I43">
        <v>40</v>
      </c>
    </row>
    <row r="44" spans="1:9" x14ac:dyDescent="0.25">
      <c r="A44" s="111">
        <v>41</v>
      </c>
      <c r="B44" s="110" t="s">
        <v>183</v>
      </c>
      <c r="C44" s="452">
        <v>0.91163004000000003</v>
      </c>
      <c r="D44" s="473">
        <v>349768.22</v>
      </c>
      <c r="E44" s="355">
        <v>383649.55</v>
      </c>
      <c r="F44" s="355"/>
      <c r="G44" s="355"/>
      <c r="I44">
        <v>41</v>
      </c>
    </row>
    <row r="45" spans="1:9" x14ac:dyDescent="0.25">
      <c r="A45" s="111">
        <v>42</v>
      </c>
      <c r="B45" s="110" t="s">
        <v>182</v>
      </c>
      <c r="C45" s="452">
        <v>1.04617805</v>
      </c>
      <c r="D45" s="473">
        <v>401390.71</v>
      </c>
      <c r="E45" s="355">
        <v>440272.61</v>
      </c>
      <c r="F45" s="355"/>
      <c r="G45" s="355"/>
      <c r="I45">
        <v>42</v>
      </c>
    </row>
    <row r="46" spans="1:9" x14ac:dyDescent="0.25">
      <c r="A46" s="111">
        <v>43</v>
      </c>
      <c r="B46" s="110" t="s">
        <v>181</v>
      </c>
      <c r="C46" s="451">
        <v>1.0945376499999999</v>
      </c>
      <c r="D46" s="473">
        <v>419945.01</v>
      </c>
      <c r="E46" s="355">
        <v>460624.22</v>
      </c>
      <c r="F46" s="355"/>
      <c r="G46" s="355"/>
      <c r="I46">
        <v>43</v>
      </c>
    </row>
    <row r="47" spans="1:9" x14ac:dyDescent="0.25">
      <c r="A47" s="111">
        <v>44</v>
      </c>
      <c r="B47" s="110" t="s">
        <v>180</v>
      </c>
      <c r="C47" s="451">
        <v>0.89772721</v>
      </c>
      <c r="D47" s="473">
        <v>344434.07</v>
      </c>
      <c r="E47" s="355">
        <v>377798.7</v>
      </c>
      <c r="F47" s="355"/>
      <c r="G47" s="355"/>
      <c r="I47">
        <v>44</v>
      </c>
    </row>
    <row r="48" spans="1:9" x14ac:dyDescent="0.25">
      <c r="A48" s="111">
        <v>45</v>
      </c>
      <c r="B48" s="110" t="s">
        <v>179</v>
      </c>
      <c r="C48" s="451">
        <v>0.74634668999999998</v>
      </c>
      <c r="D48" s="473">
        <v>286353.39</v>
      </c>
      <c r="E48" s="355">
        <v>314091.86</v>
      </c>
      <c r="F48" s="355"/>
      <c r="G48" s="355"/>
      <c r="I48">
        <v>45</v>
      </c>
    </row>
    <row r="49" spans="1:9" x14ac:dyDescent="0.25">
      <c r="A49" s="111">
        <v>46</v>
      </c>
      <c r="B49" s="110" t="s">
        <v>178</v>
      </c>
      <c r="C49" s="452">
        <v>0.65489624999999996</v>
      </c>
      <c r="D49" s="473">
        <v>251266.29</v>
      </c>
      <c r="E49" s="355">
        <v>275605.94</v>
      </c>
      <c r="F49" s="355"/>
      <c r="G49" s="355"/>
      <c r="I49">
        <v>46</v>
      </c>
    </row>
    <row r="50" spans="1:9" x14ac:dyDescent="0.25">
      <c r="A50" s="111">
        <v>47</v>
      </c>
      <c r="B50" s="110" t="s">
        <v>177</v>
      </c>
      <c r="C50" s="452">
        <v>0.63322597999999997</v>
      </c>
      <c r="D50" s="473">
        <v>242951.98</v>
      </c>
      <c r="E50" s="355">
        <v>266486.24</v>
      </c>
      <c r="F50" s="355"/>
      <c r="G50" s="355"/>
      <c r="I50">
        <v>47</v>
      </c>
    </row>
    <row r="51" spans="1:9" x14ac:dyDescent="0.25">
      <c r="A51" s="111">
        <v>48</v>
      </c>
      <c r="B51" s="110" t="s">
        <v>176</v>
      </c>
      <c r="C51" s="452">
        <v>1.0722760099999999</v>
      </c>
      <c r="D51" s="473">
        <v>411403.81</v>
      </c>
      <c r="E51" s="355">
        <v>451255.65</v>
      </c>
      <c r="F51" s="355"/>
      <c r="G51" s="355"/>
      <c r="I51">
        <v>48</v>
      </c>
    </row>
    <row r="52" spans="1:9" x14ac:dyDescent="0.25">
      <c r="A52" s="111">
        <v>49</v>
      </c>
      <c r="B52" s="110" t="s">
        <v>175</v>
      </c>
      <c r="C52" s="451">
        <v>1.14168468</v>
      </c>
      <c r="D52" s="473">
        <v>438034.07</v>
      </c>
      <c r="E52" s="355">
        <v>480465.53</v>
      </c>
      <c r="F52" s="355"/>
      <c r="G52" s="355"/>
      <c r="I52">
        <v>49</v>
      </c>
    </row>
    <row r="53" spans="1:9" x14ac:dyDescent="0.25">
      <c r="A53" s="111">
        <v>50</v>
      </c>
      <c r="B53" s="110" t="s">
        <v>174</v>
      </c>
      <c r="C53" s="451">
        <v>1.4459861899999999</v>
      </c>
      <c r="D53" s="473">
        <v>554786.47</v>
      </c>
      <c r="E53" s="355">
        <v>608527.5</v>
      </c>
      <c r="F53" s="355"/>
      <c r="G53" s="355"/>
      <c r="I53">
        <v>50</v>
      </c>
    </row>
    <row r="54" spans="1:9" x14ac:dyDescent="0.25">
      <c r="A54" s="111">
        <v>51</v>
      </c>
      <c r="B54" s="110" t="s">
        <v>173</v>
      </c>
      <c r="C54" s="451">
        <v>0.83175149000000004</v>
      </c>
      <c r="D54" s="473">
        <v>319120.94</v>
      </c>
      <c r="E54" s="355">
        <v>350033.53</v>
      </c>
      <c r="F54" s="355"/>
      <c r="G54" s="355"/>
      <c r="I54">
        <v>51</v>
      </c>
    </row>
    <row r="55" spans="1:9" x14ac:dyDescent="0.25">
      <c r="A55" s="111">
        <v>52</v>
      </c>
      <c r="B55" s="110" t="s">
        <v>172</v>
      </c>
      <c r="C55" s="452">
        <v>1.7015551200000001</v>
      </c>
      <c r="D55" s="473">
        <v>652841.48</v>
      </c>
      <c r="E55" s="355">
        <v>716080.9</v>
      </c>
      <c r="F55" s="355"/>
      <c r="G55" s="355"/>
      <c r="I55">
        <v>52</v>
      </c>
    </row>
    <row r="56" spans="1:9" x14ac:dyDescent="0.25">
      <c r="A56" s="111">
        <v>53</v>
      </c>
      <c r="B56" s="110" t="s">
        <v>171</v>
      </c>
      <c r="C56" s="452">
        <v>1.0253199500000001</v>
      </c>
      <c r="D56" s="473">
        <v>393388.01</v>
      </c>
      <c r="E56" s="355">
        <v>431494.7</v>
      </c>
      <c r="F56" s="355"/>
      <c r="G56" s="355"/>
      <c r="I56">
        <v>53</v>
      </c>
    </row>
    <row r="57" spans="1:9" x14ac:dyDescent="0.25">
      <c r="A57" s="111">
        <v>54</v>
      </c>
      <c r="B57" s="110" t="s">
        <v>170</v>
      </c>
      <c r="C57" s="452">
        <v>0.89127436999999998</v>
      </c>
      <c r="D57" s="473">
        <v>341958.29</v>
      </c>
      <c r="E57" s="355">
        <v>375083.09</v>
      </c>
      <c r="F57" s="355"/>
      <c r="G57" s="355"/>
      <c r="I57">
        <v>54</v>
      </c>
    </row>
    <row r="58" spans="1:9" x14ac:dyDescent="0.25">
      <c r="A58" s="111">
        <v>55</v>
      </c>
      <c r="B58" s="110" t="s">
        <v>169</v>
      </c>
      <c r="C58" s="451">
        <v>1.5918037599999999</v>
      </c>
      <c r="D58" s="473">
        <v>610732.80000000005</v>
      </c>
      <c r="E58" s="355">
        <v>669893.23</v>
      </c>
      <c r="F58" s="355"/>
      <c r="G58" s="355"/>
      <c r="I58">
        <v>55</v>
      </c>
    </row>
    <row r="59" spans="1:9" x14ac:dyDescent="0.25">
      <c r="A59" s="111">
        <v>56</v>
      </c>
      <c r="B59" s="110" t="s">
        <v>168</v>
      </c>
      <c r="C59" s="451">
        <v>1.0916040300000001</v>
      </c>
      <c r="D59" s="473">
        <v>418819.45</v>
      </c>
      <c r="E59" s="355">
        <v>459389.64</v>
      </c>
      <c r="F59" s="355"/>
      <c r="G59" s="355"/>
      <c r="I59">
        <v>56</v>
      </c>
    </row>
    <row r="60" spans="1:9" x14ac:dyDescent="0.25">
      <c r="A60" s="111">
        <v>57</v>
      </c>
      <c r="B60" s="110" t="s">
        <v>167</v>
      </c>
      <c r="C60" s="451">
        <v>1.9235377199999999</v>
      </c>
      <c r="D60" s="473">
        <v>738010.3</v>
      </c>
      <c r="E60" s="355">
        <v>809499.86</v>
      </c>
      <c r="F60" s="355"/>
      <c r="G60" s="355"/>
      <c r="I60">
        <v>57</v>
      </c>
    </row>
    <row r="61" spans="1:9" x14ac:dyDescent="0.25">
      <c r="A61" s="111">
        <v>58</v>
      </c>
      <c r="B61" s="110" t="s">
        <v>166</v>
      </c>
      <c r="C61" s="452">
        <v>0.71155668000000005</v>
      </c>
      <c r="D61" s="473">
        <v>273005.39</v>
      </c>
      <c r="E61" s="355">
        <v>299450.86</v>
      </c>
      <c r="F61" s="355"/>
      <c r="G61" s="355"/>
      <c r="I61">
        <v>58</v>
      </c>
    </row>
    <row r="62" spans="1:9" x14ac:dyDescent="0.25">
      <c r="A62" s="111">
        <v>59</v>
      </c>
      <c r="B62" s="110" t="s">
        <v>165</v>
      </c>
      <c r="C62" s="452">
        <v>0.60979183000000003</v>
      </c>
      <c r="D62" s="473">
        <v>233960.92</v>
      </c>
      <c r="E62" s="355">
        <v>256624.23</v>
      </c>
      <c r="F62" s="355"/>
      <c r="G62" s="355"/>
      <c r="I62">
        <v>59</v>
      </c>
    </row>
    <row r="63" spans="1:9" x14ac:dyDescent="0.25">
      <c r="A63" s="111">
        <v>60</v>
      </c>
      <c r="B63" s="110" t="s">
        <v>164</v>
      </c>
      <c r="C63" s="452">
        <v>1.1015819499999999</v>
      </c>
      <c r="D63" s="473">
        <v>422647.72</v>
      </c>
      <c r="E63" s="355">
        <v>463588.74</v>
      </c>
      <c r="F63" s="355"/>
      <c r="G63" s="355"/>
      <c r="I63">
        <v>60</v>
      </c>
    </row>
    <row r="64" spans="1:9" x14ac:dyDescent="0.25">
      <c r="A64" s="111">
        <v>61</v>
      </c>
      <c r="B64" s="110" t="s">
        <v>163</v>
      </c>
      <c r="C64" s="451">
        <v>1.0265148399999999</v>
      </c>
      <c r="D64" s="473">
        <v>393846.46</v>
      </c>
      <c r="E64" s="355">
        <v>431997.56</v>
      </c>
      <c r="F64" s="355"/>
      <c r="G64" s="355"/>
      <c r="I64">
        <v>61</v>
      </c>
    </row>
    <row r="65" spans="1:9" x14ac:dyDescent="0.25">
      <c r="A65" s="111">
        <v>62</v>
      </c>
      <c r="B65" s="110" t="s">
        <v>162</v>
      </c>
      <c r="C65" s="451">
        <v>0.98719049999999997</v>
      </c>
      <c r="D65" s="473">
        <v>378758.76</v>
      </c>
      <c r="E65" s="355">
        <v>415448.35</v>
      </c>
      <c r="F65" s="355"/>
      <c r="G65" s="355"/>
      <c r="I65">
        <v>62</v>
      </c>
    </row>
    <row r="66" spans="1:9" x14ac:dyDescent="0.25">
      <c r="A66" s="111">
        <v>63</v>
      </c>
      <c r="B66" s="110" t="s">
        <v>161</v>
      </c>
      <c r="C66" s="451">
        <v>1.2068692400000001</v>
      </c>
      <c r="D66" s="473">
        <v>463043.65</v>
      </c>
      <c r="E66" s="355">
        <v>507897.75</v>
      </c>
      <c r="F66" s="355"/>
      <c r="G66" s="355"/>
      <c r="I66">
        <v>63</v>
      </c>
    </row>
    <row r="67" spans="1:9" x14ac:dyDescent="0.25">
      <c r="A67" s="111">
        <v>64</v>
      </c>
      <c r="B67" s="110" t="s">
        <v>160</v>
      </c>
      <c r="C67" s="452">
        <v>1.11490435</v>
      </c>
      <c r="D67" s="473">
        <v>427759.17</v>
      </c>
      <c r="E67" s="355">
        <v>469195.32</v>
      </c>
      <c r="F67" s="355"/>
      <c r="G67" s="355"/>
      <c r="I67">
        <v>64</v>
      </c>
    </row>
    <row r="68" spans="1:9" x14ac:dyDescent="0.25">
      <c r="A68" s="111">
        <v>65</v>
      </c>
      <c r="B68" s="110" t="s">
        <v>159</v>
      </c>
      <c r="C68" s="452">
        <v>0.90737455</v>
      </c>
      <c r="D68" s="473">
        <v>348135.5</v>
      </c>
      <c r="E68" s="355">
        <v>381858.67</v>
      </c>
      <c r="F68" s="355"/>
      <c r="G68" s="355"/>
      <c r="I68">
        <v>65</v>
      </c>
    </row>
    <row r="69" spans="1:9" x14ac:dyDescent="0.25">
      <c r="A69" s="111">
        <v>66</v>
      </c>
      <c r="B69" s="110" t="s">
        <v>158</v>
      </c>
      <c r="C69" s="452">
        <v>0.81358980000000003</v>
      </c>
      <c r="D69" s="473">
        <v>312152.78000000003</v>
      </c>
      <c r="E69" s="355">
        <v>342390.39</v>
      </c>
      <c r="F69" s="355"/>
      <c r="G69" s="355"/>
      <c r="I69">
        <v>66</v>
      </c>
    </row>
    <row r="70" spans="1:9" x14ac:dyDescent="0.25">
      <c r="A70" s="111">
        <v>67</v>
      </c>
      <c r="B70" s="110" t="s">
        <v>157</v>
      </c>
      <c r="C70" s="451">
        <v>1.02468567</v>
      </c>
      <c r="D70" s="473">
        <v>393144.66</v>
      </c>
      <c r="E70" s="355">
        <v>431227.77</v>
      </c>
      <c r="F70" s="355"/>
      <c r="G70" s="355"/>
      <c r="I70">
        <v>67</v>
      </c>
    </row>
    <row r="71" spans="1:9" x14ac:dyDescent="0.25">
      <c r="A71" s="111">
        <v>68</v>
      </c>
      <c r="B71" s="110" t="s">
        <v>156</v>
      </c>
      <c r="C71" s="451">
        <v>0.66995051000000005</v>
      </c>
      <c r="D71" s="473">
        <v>257042.2</v>
      </c>
      <c r="E71" s="355">
        <v>281941.34999999998</v>
      </c>
      <c r="F71" s="355"/>
      <c r="G71" s="355"/>
      <c r="I71">
        <v>68</v>
      </c>
    </row>
    <row r="72" spans="1:9" x14ac:dyDescent="0.25">
      <c r="A72" s="111">
        <v>69</v>
      </c>
      <c r="B72" s="110" t="s">
        <v>155</v>
      </c>
      <c r="C72" s="451">
        <v>0.69694741999999998</v>
      </c>
      <c r="D72" s="473">
        <v>267400.2</v>
      </c>
      <c r="E72" s="355">
        <v>293302.71000000002</v>
      </c>
      <c r="F72" s="355"/>
      <c r="G72" s="355"/>
      <c r="I72">
        <v>69</v>
      </c>
    </row>
    <row r="73" spans="1:9" x14ac:dyDescent="0.25">
      <c r="A73" s="111">
        <v>70</v>
      </c>
      <c r="B73" s="110" t="s">
        <v>154</v>
      </c>
      <c r="C73" s="452">
        <v>0.94816661999999996</v>
      </c>
      <c r="D73" s="473">
        <v>363786.33</v>
      </c>
      <c r="E73" s="355">
        <v>399025.57</v>
      </c>
      <c r="F73" s="355"/>
      <c r="G73" s="355"/>
      <c r="I73">
        <v>70</v>
      </c>
    </row>
    <row r="74" spans="1:9" x14ac:dyDescent="0.25">
      <c r="A74" s="111">
        <v>71</v>
      </c>
      <c r="B74" s="110" t="s">
        <v>153</v>
      </c>
      <c r="C74" s="452">
        <v>0.95808963000000003</v>
      </c>
      <c r="D74" s="473">
        <v>367593.53</v>
      </c>
      <c r="E74" s="355">
        <v>403201.56</v>
      </c>
      <c r="F74" s="355"/>
      <c r="G74" s="355"/>
      <c r="I74">
        <v>71</v>
      </c>
    </row>
    <row r="75" spans="1:9" x14ac:dyDescent="0.25">
      <c r="A75" s="111">
        <v>72</v>
      </c>
      <c r="B75" s="110" t="s">
        <v>152</v>
      </c>
      <c r="C75" s="452">
        <v>0.69585686999999996</v>
      </c>
      <c r="D75" s="473">
        <v>266981.78999999998</v>
      </c>
      <c r="E75" s="355">
        <v>292843.76</v>
      </c>
      <c r="F75" s="355"/>
      <c r="G75" s="355"/>
      <c r="I75">
        <v>72</v>
      </c>
    </row>
    <row r="76" spans="1:9" x14ac:dyDescent="0.25">
      <c r="A76" s="111">
        <v>73</v>
      </c>
      <c r="B76" s="110" t="s">
        <v>151</v>
      </c>
      <c r="C76" s="451">
        <v>0.94626027000000001</v>
      </c>
      <c r="D76" s="473">
        <v>363054.92</v>
      </c>
      <c r="E76" s="355">
        <v>398223.3</v>
      </c>
      <c r="F76" s="355"/>
      <c r="G76" s="355"/>
      <c r="I76">
        <v>73</v>
      </c>
    </row>
    <row r="77" spans="1:9" x14ac:dyDescent="0.25">
      <c r="A77" s="111">
        <v>74</v>
      </c>
      <c r="B77" s="110" t="s">
        <v>150</v>
      </c>
      <c r="C77" s="451">
        <v>0.85876112999999998</v>
      </c>
      <c r="D77" s="473">
        <v>329483.82</v>
      </c>
      <c r="E77" s="355">
        <v>361400.24</v>
      </c>
      <c r="F77" s="355"/>
      <c r="G77" s="355"/>
      <c r="I77">
        <v>74</v>
      </c>
    </row>
    <row r="78" spans="1:9" x14ac:dyDescent="0.25">
      <c r="A78" s="111">
        <v>75</v>
      </c>
      <c r="B78" s="110" t="s">
        <v>149</v>
      </c>
      <c r="C78" s="451">
        <v>1.4996883700000001</v>
      </c>
      <c r="D78" s="473">
        <v>575390.56999999995</v>
      </c>
      <c r="E78" s="355">
        <v>631127.48</v>
      </c>
      <c r="F78" s="355"/>
      <c r="G78" s="355"/>
      <c r="I78">
        <v>75</v>
      </c>
    </row>
    <row r="79" spans="1:9" x14ac:dyDescent="0.25">
      <c r="A79" s="111">
        <v>76</v>
      </c>
      <c r="B79" s="110" t="s">
        <v>148</v>
      </c>
      <c r="C79" s="452">
        <v>0.84213596999999996</v>
      </c>
      <c r="D79" s="473">
        <v>323105.19</v>
      </c>
      <c r="E79" s="355">
        <v>354403.73</v>
      </c>
      <c r="F79" s="355"/>
      <c r="G79" s="355"/>
      <c r="I79">
        <v>76</v>
      </c>
    </row>
    <row r="80" spans="1:9" x14ac:dyDescent="0.25">
      <c r="A80" s="111">
        <v>77</v>
      </c>
      <c r="B80" s="110" t="s">
        <v>147</v>
      </c>
      <c r="C80" s="452">
        <v>2.0018441</v>
      </c>
      <c r="D80" s="473">
        <v>768054.38</v>
      </c>
      <c r="E80" s="355">
        <v>842454.23</v>
      </c>
      <c r="F80" s="355"/>
      <c r="G80" s="355"/>
      <c r="I80">
        <v>77</v>
      </c>
    </row>
    <row r="81" spans="1:9" x14ac:dyDescent="0.25">
      <c r="A81" s="111">
        <v>78</v>
      </c>
      <c r="B81" s="110" t="s">
        <v>146</v>
      </c>
      <c r="C81" s="452">
        <v>2.0020178400000002</v>
      </c>
      <c r="D81" s="473">
        <v>768121.04</v>
      </c>
      <c r="E81" s="355">
        <v>842527.35</v>
      </c>
      <c r="F81" s="355"/>
      <c r="G81" s="355"/>
      <c r="I81">
        <v>78</v>
      </c>
    </row>
    <row r="82" spans="1:9" x14ac:dyDescent="0.25">
      <c r="A82" s="111">
        <v>79</v>
      </c>
      <c r="B82" s="110" t="s">
        <v>145</v>
      </c>
      <c r="C82" s="451">
        <v>0.89641333000000001</v>
      </c>
      <c r="D82" s="473">
        <v>343929.97</v>
      </c>
      <c r="E82" s="355">
        <v>377245.77</v>
      </c>
      <c r="F82" s="355"/>
      <c r="G82" s="355"/>
      <c r="I82">
        <v>79</v>
      </c>
    </row>
    <row r="83" spans="1:9" x14ac:dyDescent="0.25">
      <c r="A83" s="111">
        <v>80</v>
      </c>
      <c r="B83" s="110" t="s">
        <v>144</v>
      </c>
      <c r="C83" s="451">
        <v>0.77992554999999997</v>
      </c>
      <c r="D83" s="473">
        <v>299236.7</v>
      </c>
      <c r="E83" s="355">
        <v>328223.15000000002</v>
      </c>
      <c r="F83" s="355"/>
      <c r="G83" s="355"/>
      <c r="I83">
        <v>80</v>
      </c>
    </row>
    <row r="84" spans="1:9" x14ac:dyDescent="0.25">
      <c r="A84" s="111">
        <v>81</v>
      </c>
      <c r="B84" s="110" t="s">
        <v>143</v>
      </c>
      <c r="C84" s="451">
        <v>0.94229459000000004</v>
      </c>
      <c r="D84" s="473">
        <v>361533.39</v>
      </c>
      <c r="E84" s="355">
        <v>396554.39</v>
      </c>
      <c r="F84" s="355"/>
      <c r="G84" s="355"/>
      <c r="I84">
        <v>81</v>
      </c>
    </row>
    <row r="85" spans="1:9" x14ac:dyDescent="0.25">
      <c r="A85" s="111">
        <v>82</v>
      </c>
      <c r="B85" s="110" t="s">
        <v>142</v>
      </c>
      <c r="C85" s="452">
        <v>1.17493896</v>
      </c>
      <c r="D85" s="473">
        <v>450792.85</v>
      </c>
      <c r="E85" s="355">
        <v>494460.23</v>
      </c>
      <c r="F85" s="355"/>
      <c r="G85" s="355"/>
      <c r="I85">
        <v>82</v>
      </c>
    </row>
    <row r="86" spans="1:9" x14ac:dyDescent="0.25">
      <c r="A86" s="111">
        <v>83</v>
      </c>
      <c r="B86" s="110" t="s">
        <v>141</v>
      </c>
      <c r="C86" s="452">
        <v>0.90780044999999998</v>
      </c>
      <c r="D86" s="473">
        <v>348298.9</v>
      </c>
      <c r="E86" s="355">
        <v>382037.9</v>
      </c>
      <c r="F86" s="355"/>
      <c r="G86" s="355"/>
      <c r="I86">
        <v>83</v>
      </c>
    </row>
    <row r="87" spans="1:9" x14ac:dyDescent="0.25">
      <c r="A87" s="111">
        <v>84</v>
      </c>
      <c r="B87" s="110" t="s">
        <v>140</v>
      </c>
      <c r="C87" s="452">
        <v>1.48999064</v>
      </c>
      <c r="D87" s="473">
        <v>571669.81000000006</v>
      </c>
      <c r="E87" s="355">
        <v>627046.29</v>
      </c>
      <c r="F87" s="355"/>
      <c r="G87" s="355"/>
      <c r="I87">
        <v>84</v>
      </c>
    </row>
    <row r="88" spans="1:9" x14ac:dyDescent="0.25">
      <c r="A88" s="111">
        <v>85</v>
      </c>
      <c r="B88" s="110" t="s">
        <v>139</v>
      </c>
      <c r="C88" s="451">
        <v>1.1998846299999999</v>
      </c>
      <c r="D88" s="473">
        <v>460363.84</v>
      </c>
      <c r="E88" s="355">
        <v>504958.35</v>
      </c>
      <c r="F88" s="355"/>
      <c r="G88" s="355"/>
      <c r="I88">
        <v>85</v>
      </c>
    </row>
    <row r="89" spans="1:9" x14ac:dyDescent="0.25">
      <c r="A89" s="111">
        <v>86</v>
      </c>
      <c r="B89" s="110" t="s">
        <v>138</v>
      </c>
      <c r="C89" s="451">
        <v>1.17503365</v>
      </c>
      <c r="D89" s="473">
        <v>450829.18</v>
      </c>
      <c r="E89" s="355">
        <v>494500.08</v>
      </c>
      <c r="F89" s="355"/>
      <c r="G89" s="355"/>
      <c r="I89">
        <v>86</v>
      </c>
    </row>
    <row r="90" spans="1:9" x14ac:dyDescent="0.25">
      <c r="A90" s="111">
        <v>87</v>
      </c>
      <c r="B90" s="110" t="s">
        <v>137</v>
      </c>
      <c r="C90" s="451">
        <v>0.81119616999999999</v>
      </c>
      <c r="D90" s="473">
        <v>311234.40999999997</v>
      </c>
      <c r="E90" s="355">
        <v>341383.05</v>
      </c>
      <c r="F90" s="355"/>
      <c r="G90" s="355"/>
      <c r="I90">
        <v>87</v>
      </c>
    </row>
    <row r="91" spans="1:9" x14ac:dyDescent="0.25">
      <c r="A91" s="111">
        <v>88</v>
      </c>
      <c r="B91" s="110" t="s">
        <v>136</v>
      </c>
      <c r="C91" s="452">
        <v>0.67566048999999995</v>
      </c>
      <c r="D91" s="473">
        <v>259232.97</v>
      </c>
      <c r="E91" s="355">
        <v>284344.34000000003</v>
      </c>
      <c r="F91" s="355"/>
      <c r="G91" s="355"/>
      <c r="I91">
        <v>88</v>
      </c>
    </row>
    <row r="92" spans="1:9" x14ac:dyDescent="0.25">
      <c r="A92" s="111">
        <v>89</v>
      </c>
      <c r="B92" s="110" t="s">
        <v>135</v>
      </c>
      <c r="C92" s="452">
        <v>0.81141450999999998</v>
      </c>
      <c r="D92" s="473">
        <v>311318.18</v>
      </c>
      <c r="E92" s="355">
        <v>341474.94</v>
      </c>
      <c r="F92" s="355"/>
      <c r="G92" s="355"/>
      <c r="I92">
        <v>89</v>
      </c>
    </row>
    <row r="93" spans="1:9" x14ac:dyDescent="0.25">
      <c r="A93" s="111">
        <v>90</v>
      </c>
      <c r="B93" s="110" t="s">
        <v>134</v>
      </c>
      <c r="C93" s="452">
        <v>0.94129755999999998</v>
      </c>
      <c r="D93" s="473">
        <v>361150.86</v>
      </c>
      <c r="E93" s="355">
        <v>396134.8</v>
      </c>
      <c r="F93" s="355"/>
      <c r="G93" s="355"/>
      <c r="I93">
        <v>90</v>
      </c>
    </row>
    <row r="94" spans="1:9" x14ac:dyDescent="0.25">
      <c r="A94" s="111">
        <v>91</v>
      </c>
      <c r="B94" s="110" t="s">
        <v>133</v>
      </c>
      <c r="C94" s="451">
        <v>1.3318393500000001</v>
      </c>
      <c r="D94" s="473">
        <v>510991.35999999999</v>
      </c>
      <c r="E94" s="355">
        <v>560490.05000000005</v>
      </c>
      <c r="F94" s="355"/>
      <c r="G94" s="355"/>
      <c r="I94">
        <v>91</v>
      </c>
    </row>
    <row r="95" spans="1:9" x14ac:dyDescent="0.25">
      <c r="A95" s="111">
        <v>92</v>
      </c>
      <c r="B95" s="110" t="s">
        <v>132</v>
      </c>
      <c r="C95" s="451">
        <v>1.14162941</v>
      </c>
      <c r="D95" s="473">
        <v>438012.86</v>
      </c>
      <c r="E95" s="355">
        <v>480442.27</v>
      </c>
      <c r="F95" s="355"/>
      <c r="G95" s="355"/>
      <c r="I95">
        <v>92</v>
      </c>
    </row>
    <row r="96" spans="1:9" x14ac:dyDescent="0.25">
      <c r="A96" s="111">
        <v>93</v>
      </c>
      <c r="B96" s="110" t="s">
        <v>131</v>
      </c>
      <c r="C96" s="451">
        <v>0.74179810000000002</v>
      </c>
      <c r="D96" s="473">
        <v>284608.21000000002</v>
      </c>
      <c r="E96" s="355">
        <v>312177.63</v>
      </c>
      <c r="F96" s="355"/>
      <c r="G96" s="355"/>
      <c r="I96">
        <v>93</v>
      </c>
    </row>
    <row r="97" spans="1:9" x14ac:dyDescent="0.25">
      <c r="A97" s="111">
        <v>94</v>
      </c>
      <c r="B97" s="110" t="s">
        <v>130</v>
      </c>
      <c r="C97" s="452">
        <v>1.35711921</v>
      </c>
      <c r="D97" s="473">
        <v>520690.57</v>
      </c>
      <c r="E97" s="355">
        <v>571128.81000000006</v>
      </c>
      <c r="F97" s="355"/>
      <c r="G97" s="355"/>
      <c r="I97">
        <v>94</v>
      </c>
    </row>
    <row r="98" spans="1:9" x14ac:dyDescent="0.25">
      <c r="A98" s="111">
        <v>95</v>
      </c>
      <c r="B98" s="110" t="s">
        <v>129</v>
      </c>
      <c r="C98" s="452">
        <v>0.59749397000000004</v>
      </c>
      <c r="D98" s="473">
        <v>229242.55</v>
      </c>
      <c r="E98" s="355">
        <v>251448.82</v>
      </c>
      <c r="F98" s="355"/>
      <c r="G98" s="355"/>
      <c r="I98">
        <v>95</v>
      </c>
    </row>
    <row r="99" spans="1:9" x14ac:dyDescent="0.25">
      <c r="A99" s="111">
        <v>96</v>
      </c>
      <c r="B99" s="110" t="s">
        <v>128</v>
      </c>
      <c r="C99" s="452">
        <v>1.23615137</v>
      </c>
      <c r="D99" s="473">
        <v>474278.43</v>
      </c>
      <c r="E99" s="355">
        <v>520220.81</v>
      </c>
      <c r="F99" s="355"/>
      <c r="G99" s="355"/>
      <c r="I99">
        <v>96</v>
      </c>
    </row>
    <row r="100" spans="1:9" x14ac:dyDescent="0.25">
      <c r="A100" s="111">
        <v>97</v>
      </c>
      <c r="B100" s="110" t="s">
        <v>127</v>
      </c>
      <c r="C100" s="451">
        <v>1.4786544699999999</v>
      </c>
      <c r="D100" s="473">
        <v>567320.42000000004</v>
      </c>
      <c r="E100" s="355">
        <v>622275.59</v>
      </c>
      <c r="F100" s="355"/>
      <c r="G100" s="355"/>
      <c r="I100">
        <v>97</v>
      </c>
    </row>
    <row r="101" spans="1:9" x14ac:dyDescent="0.25">
      <c r="A101" s="111">
        <v>98</v>
      </c>
      <c r="B101" s="110" t="s">
        <v>126</v>
      </c>
      <c r="C101" s="451">
        <v>0.66756451999999999</v>
      </c>
      <c r="D101" s="473">
        <v>256126.76</v>
      </c>
      <c r="E101" s="355">
        <v>280937.24</v>
      </c>
      <c r="F101" s="355"/>
      <c r="G101" s="355"/>
      <c r="I101">
        <v>98</v>
      </c>
    </row>
    <row r="102" spans="1:9" x14ac:dyDescent="0.25">
      <c r="A102" s="111">
        <v>99</v>
      </c>
      <c r="B102" s="110" t="s">
        <v>125</v>
      </c>
      <c r="C102" s="453">
        <v>0.79320250000000003</v>
      </c>
      <c r="D102" s="473">
        <v>304330.71999999997</v>
      </c>
      <c r="E102" s="355">
        <v>333810.62</v>
      </c>
      <c r="F102" s="355"/>
      <c r="G102" s="355"/>
      <c r="I102">
        <v>99</v>
      </c>
    </row>
    <row r="103" spans="1:9" x14ac:dyDescent="0.25">
      <c r="A103" s="107"/>
      <c r="C103" s="131">
        <f>SUM(C4:C102)</f>
        <v>100</v>
      </c>
      <c r="D103" s="230">
        <f>SUM(D4:D102)</f>
        <v>38367342.209999993</v>
      </c>
      <c r="E103" s="230">
        <f t="shared" ref="E103:G103" si="0">SUM(E4:E102)</f>
        <v>42083908.200000003</v>
      </c>
      <c r="F103" s="230">
        <f t="shared" si="0"/>
        <v>0</v>
      </c>
      <c r="G103" s="230">
        <f t="shared" si="0"/>
        <v>0</v>
      </c>
    </row>
    <row r="104" spans="1:9" x14ac:dyDescent="0.25">
      <c r="A104" s="107"/>
      <c r="B104" s="109" t="s">
        <v>255</v>
      </c>
      <c r="C104" s="132"/>
      <c r="D104" s="51">
        <v>584274.25</v>
      </c>
      <c r="E104" s="51">
        <v>529997.81000000006</v>
      </c>
      <c r="F104" s="51"/>
      <c r="G104" s="51"/>
      <c r="I104" s="241" t="s">
        <v>257</v>
      </c>
    </row>
    <row r="105" spans="1:9" x14ac:dyDescent="0.25">
      <c r="C105" s="231" t="s">
        <v>304</v>
      </c>
      <c r="D105" s="230">
        <v>38951616.460000001</v>
      </c>
      <c r="E105" s="355">
        <v>42613906.009999998</v>
      </c>
      <c r="F105" s="51"/>
      <c r="G105" s="230"/>
    </row>
    <row r="106" spans="1:9" x14ac:dyDescent="0.25">
      <c r="D106" s="232">
        <f>D103+D104-D105</f>
        <v>0</v>
      </c>
      <c r="E106" s="232">
        <f>E103+E104-E105</f>
        <v>0</v>
      </c>
      <c r="F106" s="232">
        <f>F103+F104-F105</f>
        <v>0</v>
      </c>
      <c r="G106" s="232">
        <f>G103+G104-G105</f>
        <v>0</v>
      </c>
    </row>
    <row r="107" spans="1:9" x14ac:dyDescent="0.25">
      <c r="E107" s="51"/>
      <c r="F107" s="51"/>
    </row>
    <row r="108" spans="1:9" x14ac:dyDescent="0.25">
      <c r="C108" s="231" t="s">
        <v>260</v>
      </c>
      <c r="D108" s="51">
        <f>D105+Federal!F104+'Co Contrib'!C104+'Other Rev'!E105</f>
        <v>75830561.24000001</v>
      </c>
      <c r="E108" s="51">
        <f>E105+Federal!J104+'Co Contrib'!D104+'Other Rev'!H105</f>
        <v>70084568.25</v>
      </c>
      <c r="F108" s="51">
        <f>F105+Federal!N104+'Co Contrib'!E104+'Other Rev'!K105</f>
        <v>0</v>
      </c>
      <c r="G108" s="51">
        <f>G105+Federal!R104+'Co Contrib'!F104+'Other Rev'!N105</f>
        <v>0</v>
      </c>
    </row>
    <row r="109" spans="1:9" x14ac:dyDescent="0.25">
      <c r="C109" s="231" t="s">
        <v>304</v>
      </c>
      <c r="D109" s="230">
        <v>75830561.239999995</v>
      </c>
      <c r="E109" s="51">
        <v>70084568.25</v>
      </c>
      <c r="F109" s="51"/>
      <c r="G109" s="230"/>
    </row>
    <row r="110" spans="1:9" x14ac:dyDescent="0.25">
      <c r="D110" s="232">
        <f>D107+D108-D109</f>
        <v>0</v>
      </c>
      <c r="E110" s="232">
        <f t="shared" ref="E110:F110" si="1">E107+E108-E109</f>
        <v>0</v>
      </c>
      <c r="F110" s="232">
        <f t="shared" si="1"/>
        <v>0</v>
      </c>
      <c r="G110" s="232">
        <f>G107+G108-G109</f>
        <v>0</v>
      </c>
    </row>
    <row r="111" spans="1:9" x14ac:dyDescent="0.25">
      <c r="E111" s="51"/>
      <c r="F111" s="51"/>
    </row>
    <row r="112" spans="1:9" x14ac:dyDescent="0.25">
      <c r="E112" s="51"/>
      <c r="F112" s="51"/>
    </row>
    <row r="113" spans="5:6" x14ac:dyDescent="0.25">
      <c r="E113" s="51"/>
      <c r="F113" s="51"/>
    </row>
  </sheetData>
  <pageMargins left="0.7" right="0.7" top="0.75" bottom="0.75" header="0.3" footer="0.3"/>
  <pageSetup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B8F2C-1F72-4CF5-9CFA-98C24374A942}">
  <dimension ref="A1:V108"/>
  <sheetViews>
    <sheetView workbookViewId="0">
      <pane xSplit="2" ySplit="2" topLeftCell="C97" activePane="bottomRight" state="frozen"/>
      <selection pane="topRight" activeCell="C1" sqref="C1"/>
      <selection pane="bottomLeft" activeCell="A3" sqref="A3"/>
      <selection pane="bottomRight" activeCell="J107" sqref="J107"/>
    </sheetView>
  </sheetViews>
  <sheetFormatPr defaultRowHeight="15" x14ac:dyDescent="0.25"/>
  <cols>
    <col min="2" max="2" width="16.85546875" bestFit="1" customWidth="1"/>
    <col min="3" max="3" width="16.140625" style="371" customWidth="1"/>
    <col min="4" max="5" width="16.140625" style="372" customWidth="1"/>
    <col min="6" max="6" width="16.140625" style="373" customWidth="1"/>
    <col min="7" max="7" width="16.140625" style="371" customWidth="1"/>
    <col min="8" max="9" width="16.140625" style="372" customWidth="1"/>
    <col min="10" max="10" width="16.140625" style="373" customWidth="1"/>
    <col min="11" max="11" width="16.85546875" style="295" customWidth="1"/>
    <col min="12" max="13" width="15" style="61" customWidth="1"/>
    <col min="14" max="14" width="15.140625" style="291" customWidth="1"/>
    <col min="15" max="15" width="15.5703125" style="295" customWidth="1"/>
    <col min="16" max="16" width="13.85546875" style="61" bestFit="1" customWidth="1"/>
    <col min="17" max="17" width="12.42578125" style="61" bestFit="1" customWidth="1"/>
    <col min="18" max="18" width="14" style="291" customWidth="1"/>
  </cols>
  <sheetData>
    <row r="1" spans="1:22" x14ac:dyDescent="0.25">
      <c r="C1" s="540" t="s">
        <v>229</v>
      </c>
      <c r="D1" s="541"/>
      <c r="E1" s="541"/>
      <c r="F1" s="542"/>
      <c r="G1" s="540" t="s">
        <v>228</v>
      </c>
      <c r="H1" s="541"/>
      <c r="I1" s="541"/>
      <c r="J1" s="542"/>
      <c r="K1" s="534" t="s">
        <v>227</v>
      </c>
      <c r="L1" s="535"/>
      <c r="M1" s="535"/>
      <c r="N1" s="536"/>
      <c r="O1" s="537" t="s">
        <v>226</v>
      </c>
      <c r="P1" s="538"/>
      <c r="Q1" s="538"/>
      <c r="R1" s="539"/>
    </row>
    <row r="2" spans="1:22" ht="45" x14ac:dyDescent="0.25">
      <c r="A2" s="114" t="s">
        <v>225</v>
      </c>
      <c r="B2" s="303" t="s">
        <v>224</v>
      </c>
      <c r="C2" s="307" t="s">
        <v>271</v>
      </c>
      <c r="D2" s="308" t="s">
        <v>272</v>
      </c>
      <c r="E2" s="308" t="s">
        <v>273</v>
      </c>
      <c r="F2" s="309" t="s">
        <v>274</v>
      </c>
      <c r="G2" s="307" t="s">
        <v>271</v>
      </c>
      <c r="H2" s="308" t="s">
        <v>272</v>
      </c>
      <c r="I2" s="308" t="s">
        <v>273</v>
      </c>
      <c r="J2" s="309" t="s">
        <v>274</v>
      </c>
      <c r="K2" s="307" t="s">
        <v>271</v>
      </c>
      <c r="L2" s="308" t="s">
        <v>272</v>
      </c>
      <c r="M2" s="308" t="s">
        <v>273</v>
      </c>
      <c r="N2" s="309" t="s">
        <v>274</v>
      </c>
      <c r="O2" s="307" t="s">
        <v>271</v>
      </c>
      <c r="P2" s="308" t="s">
        <v>272</v>
      </c>
      <c r="Q2" s="308" t="s">
        <v>273</v>
      </c>
      <c r="R2" s="309" t="s">
        <v>274</v>
      </c>
      <c r="U2" s="32"/>
      <c r="V2" s="32"/>
    </row>
    <row r="3" spans="1:22" x14ac:dyDescent="0.25">
      <c r="A3" s="305">
        <v>1</v>
      </c>
      <c r="B3" s="306" t="s">
        <v>223</v>
      </c>
      <c r="C3" s="301">
        <v>0</v>
      </c>
      <c r="D3" s="129">
        <v>0</v>
      </c>
      <c r="E3" s="129">
        <v>0</v>
      </c>
      <c r="F3" s="300">
        <f>C3+D3+E3</f>
        <v>0</v>
      </c>
      <c r="G3" s="301">
        <v>0</v>
      </c>
      <c r="H3" s="129">
        <v>0</v>
      </c>
      <c r="I3" s="129">
        <v>0</v>
      </c>
      <c r="J3" s="300">
        <f>G3+H3+I3</f>
        <v>0</v>
      </c>
      <c r="K3" s="301"/>
      <c r="L3" s="129"/>
      <c r="M3" s="129"/>
      <c r="N3" s="300">
        <f>K3+L3+M3</f>
        <v>0</v>
      </c>
      <c r="O3" s="301"/>
      <c r="P3" s="129"/>
      <c r="Q3" s="129"/>
      <c r="R3" s="300">
        <f>O3+P3+Q3</f>
        <v>0</v>
      </c>
    </row>
    <row r="4" spans="1:22" x14ac:dyDescent="0.25">
      <c r="A4" s="111">
        <v>2</v>
      </c>
      <c r="B4" s="110" t="s">
        <v>222</v>
      </c>
      <c r="C4" s="301">
        <v>0</v>
      </c>
      <c r="D4" s="129">
        <v>0</v>
      </c>
      <c r="E4" s="129">
        <v>0</v>
      </c>
      <c r="F4" s="300">
        <f t="shared" ref="F4:F67" si="0">C4+D4+E4</f>
        <v>0</v>
      </c>
      <c r="G4" s="301">
        <v>0</v>
      </c>
      <c r="H4" s="129">
        <v>0</v>
      </c>
      <c r="I4" s="129">
        <v>0</v>
      </c>
      <c r="J4" s="300">
        <f t="shared" ref="J4:J67" si="1">G4+H4+I4</f>
        <v>0</v>
      </c>
      <c r="K4" s="301"/>
      <c r="L4" s="129"/>
      <c r="M4" s="129"/>
      <c r="N4" s="300">
        <f t="shared" ref="N4:N67" si="2">K4+L4+M4</f>
        <v>0</v>
      </c>
      <c r="O4" s="301"/>
      <c r="P4" s="129"/>
      <c r="Q4" s="129"/>
      <c r="R4" s="300">
        <f t="shared" ref="R4:R67" si="3">O4+P4+Q4</f>
        <v>0</v>
      </c>
    </row>
    <row r="5" spans="1:22" x14ac:dyDescent="0.25">
      <c r="A5" s="111">
        <v>3</v>
      </c>
      <c r="B5" s="110" t="s">
        <v>221</v>
      </c>
      <c r="C5" s="301">
        <v>0</v>
      </c>
      <c r="D5" s="129">
        <v>0</v>
      </c>
      <c r="E5" s="129">
        <v>0</v>
      </c>
      <c r="F5" s="300">
        <f t="shared" si="0"/>
        <v>0</v>
      </c>
      <c r="G5" s="301">
        <v>0</v>
      </c>
      <c r="H5" s="129">
        <v>0</v>
      </c>
      <c r="I5" s="129">
        <v>0</v>
      </c>
      <c r="J5" s="300">
        <f t="shared" si="1"/>
        <v>0</v>
      </c>
      <c r="K5" s="301"/>
      <c r="L5" s="129"/>
      <c r="M5" s="129"/>
      <c r="N5" s="300">
        <f t="shared" si="2"/>
        <v>0</v>
      </c>
      <c r="O5" s="301"/>
      <c r="P5" s="129"/>
      <c r="Q5" s="129"/>
      <c r="R5" s="300">
        <f t="shared" si="3"/>
        <v>0</v>
      </c>
    </row>
    <row r="6" spans="1:22" x14ac:dyDescent="0.25">
      <c r="A6" s="111">
        <v>4</v>
      </c>
      <c r="B6" s="110" t="s">
        <v>220</v>
      </c>
      <c r="C6" s="301">
        <v>0</v>
      </c>
      <c r="D6" s="129">
        <v>0</v>
      </c>
      <c r="E6" s="129">
        <v>0</v>
      </c>
      <c r="F6" s="300">
        <f t="shared" si="0"/>
        <v>0</v>
      </c>
      <c r="G6" s="301">
        <v>0</v>
      </c>
      <c r="H6" s="129">
        <v>0</v>
      </c>
      <c r="I6" s="129">
        <v>0</v>
      </c>
      <c r="J6" s="300">
        <f t="shared" si="1"/>
        <v>0</v>
      </c>
      <c r="K6" s="301"/>
      <c r="L6" s="129"/>
      <c r="M6" s="129"/>
      <c r="N6" s="300">
        <f t="shared" si="2"/>
        <v>0</v>
      </c>
      <c r="O6" s="301"/>
      <c r="P6" s="129"/>
      <c r="Q6" s="129"/>
      <c r="R6" s="300">
        <f t="shared" si="3"/>
        <v>0</v>
      </c>
      <c r="S6" s="135"/>
      <c r="T6" s="135"/>
    </row>
    <row r="7" spans="1:22" x14ac:dyDescent="0.25">
      <c r="A7" s="111">
        <v>5</v>
      </c>
      <c r="B7" s="110" t="s">
        <v>219</v>
      </c>
      <c r="C7" s="301">
        <v>0</v>
      </c>
      <c r="D7" s="129">
        <v>0</v>
      </c>
      <c r="E7" s="129">
        <v>0</v>
      </c>
      <c r="F7" s="300">
        <f t="shared" si="0"/>
        <v>0</v>
      </c>
      <c r="G7" s="301">
        <v>0</v>
      </c>
      <c r="H7" s="129">
        <v>0</v>
      </c>
      <c r="I7" s="129">
        <v>0</v>
      </c>
      <c r="J7" s="300">
        <f t="shared" si="1"/>
        <v>0</v>
      </c>
      <c r="K7" s="301"/>
      <c r="L7" s="129"/>
      <c r="M7" s="129"/>
      <c r="N7" s="300">
        <f t="shared" si="2"/>
        <v>0</v>
      </c>
      <c r="O7" s="301"/>
      <c r="P7" s="129"/>
      <c r="Q7" s="129"/>
      <c r="R7" s="300">
        <f t="shared" si="3"/>
        <v>0</v>
      </c>
    </row>
    <row r="8" spans="1:22" x14ac:dyDescent="0.25">
      <c r="A8" s="111">
        <v>6</v>
      </c>
      <c r="B8" s="110" t="s">
        <v>218</v>
      </c>
      <c r="C8" s="301">
        <v>0</v>
      </c>
      <c r="D8" s="129">
        <v>0</v>
      </c>
      <c r="E8" s="129">
        <v>0</v>
      </c>
      <c r="F8" s="300">
        <f t="shared" si="0"/>
        <v>0</v>
      </c>
      <c r="G8" s="301">
        <v>0</v>
      </c>
      <c r="H8" s="129">
        <v>0</v>
      </c>
      <c r="I8" s="129">
        <v>0</v>
      </c>
      <c r="J8" s="300">
        <f t="shared" si="1"/>
        <v>0</v>
      </c>
      <c r="K8" s="301"/>
      <c r="L8" s="129"/>
      <c r="M8" s="129"/>
      <c r="N8" s="300">
        <f t="shared" si="2"/>
        <v>0</v>
      </c>
      <c r="O8" s="301"/>
      <c r="P8" s="129"/>
      <c r="Q8" s="129"/>
      <c r="R8" s="300">
        <f t="shared" si="3"/>
        <v>0</v>
      </c>
    </row>
    <row r="9" spans="1:22" x14ac:dyDescent="0.25">
      <c r="A9" s="111">
        <v>7</v>
      </c>
      <c r="B9" s="110" t="s">
        <v>217</v>
      </c>
      <c r="C9" s="301">
        <v>0</v>
      </c>
      <c r="D9" s="129">
        <v>221688.29</v>
      </c>
      <c r="E9" s="129">
        <v>0</v>
      </c>
      <c r="F9" s="300">
        <f t="shared" si="0"/>
        <v>221688.29</v>
      </c>
      <c r="G9" s="301">
        <v>0</v>
      </c>
      <c r="H9" s="129">
        <v>0</v>
      </c>
      <c r="I9" s="129">
        <v>0</v>
      </c>
      <c r="J9" s="300">
        <f t="shared" si="1"/>
        <v>0</v>
      </c>
      <c r="K9" s="301"/>
      <c r="L9" s="129"/>
      <c r="M9" s="129"/>
      <c r="N9" s="300">
        <f t="shared" si="2"/>
        <v>0</v>
      </c>
      <c r="O9" s="301"/>
      <c r="P9" s="129"/>
      <c r="Q9" s="129"/>
      <c r="R9" s="300">
        <f t="shared" si="3"/>
        <v>0</v>
      </c>
    </row>
    <row r="10" spans="1:22" x14ac:dyDescent="0.25">
      <c r="A10" s="111">
        <v>8</v>
      </c>
      <c r="B10" s="110" t="s">
        <v>216</v>
      </c>
      <c r="C10" s="301">
        <v>0</v>
      </c>
      <c r="D10" s="129">
        <v>0</v>
      </c>
      <c r="E10" s="129">
        <v>0</v>
      </c>
      <c r="F10" s="300">
        <f t="shared" si="0"/>
        <v>0</v>
      </c>
      <c r="G10" s="301">
        <v>0</v>
      </c>
      <c r="H10" s="129">
        <v>0</v>
      </c>
      <c r="I10" s="129">
        <v>0</v>
      </c>
      <c r="J10" s="300">
        <f t="shared" si="1"/>
        <v>0</v>
      </c>
      <c r="K10" s="301"/>
      <c r="L10" s="129"/>
      <c r="M10" s="129"/>
      <c r="N10" s="300">
        <f t="shared" si="2"/>
        <v>0</v>
      </c>
      <c r="O10" s="301"/>
      <c r="P10" s="129"/>
      <c r="Q10" s="129"/>
      <c r="R10" s="300">
        <f t="shared" si="3"/>
        <v>0</v>
      </c>
    </row>
    <row r="11" spans="1:22" x14ac:dyDescent="0.25">
      <c r="A11" s="111">
        <v>9</v>
      </c>
      <c r="B11" s="110" t="s">
        <v>215</v>
      </c>
      <c r="C11" s="301">
        <v>0</v>
      </c>
      <c r="D11" s="129">
        <v>382849.99</v>
      </c>
      <c r="E11" s="129">
        <v>0</v>
      </c>
      <c r="F11" s="300">
        <f t="shared" si="0"/>
        <v>382849.99</v>
      </c>
      <c r="G11" s="301">
        <v>0</v>
      </c>
      <c r="H11" s="129">
        <v>371036.51</v>
      </c>
      <c r="I11" s="129">
        <v>0</v>
      </c>
      <c r="J11" s="300">
        <f t="shared" si="1"/>
        <v>371036.51</v>
      </c>
      <c r="K11" s="301"/>
      <c r="L11" s="129"/>
      <c r="M11" s="129"/>
      <c r="N11" s="300">
        <f t="shared" si="2"/>
        <v>0</v>
      </c>
      <c r="O11" s="301"/>
      <c r="P11" s="129"/>
      <c r="Q11" s="129"/>
      <c r="R11" s="300">
        <f t="shared" si="3"/>
        <v>0</v>
      </c>
    </row>
    <row r="12" spans="1:22" x14ac:dyDescent="0.25">
      <c r="A12" s="111">
        <v>10</v>
      </c>
      <c r="B12" s="110" t="s">
        <v>214</v>
      </c>
      <c r="C12" s="301">
        <v>0</v>
      </c>
      <c r="D12" s="129">
        <v>0</v>
      </c>
      <c r="E12" s="129">
        <v>0</v>
      </c>
      <c r="F12" s="300">
        <f t="shared" si="0"/>
        <v>0</v>
      </c>
      <c r="G12" s="301">
        <v>0</v>
      </c>
      <c r="H12" s="129">
        <v>0</v>
      </c>
      <c r="I12" s="129">
        <v>0</v>
      </c>
      <c r="J12" s="300">
        <f t="shared" si="1"/>
        <v>0</v>
      </c>
      <c r="K12" s="301"/>
      <c r="L12" s="129"/>
      <c r="M12" s="129"/>
      <c r="N12" s="300">
        <f t="shared" si="2"/>
        <v>0</v>
      </c>
      <c r="O12" s="301"/>
      <c r="P12" s="129"/>
      <c r="Q12" s="129"/>
      <c r="R12" s="300">
        <f t="shared" si="3"/>
        <v>0</v>
      </c>
    </row>
    <row r="13" spans="1:22" x14ac:dyDescent="0.25">
      <c r="A13" s="111">
        <v>11</v>
      </c>
      <c r="B13" s="110" t="s">
        <v>213</v>
      </c>
      <c r="C13" s="301">
        <v>0</v>
      </c>
      <c r="D13" s="129">
        <v>0</v>
      </c>
      <c r="E13" s="129">
        <v>0</v>
      </c>
      <c r="F13" s="300">
        <f t="shared" si="0"/>
        <v>0</v>
      </c>
      <c r="G13" s="301">
        <v>0</v>
      </c>
      <c r="H13" s="129">
        <v>0</v>
      </c>
      <c r="I13" s="129">
        <v>0</v>
      </c>
      <c r="J13" s="300">
        <f t="shared" si="1"/>
        <v>0</v>
      </c>
      <c r="K13" s="301"/>
      <c r="L13" s="129"/>
      <c r="M13" s="129"/>
      <c r="N13" s="300">
        <f t="shared" si="2"/>
        <v>0</v>
      </c>
      <c r="O13" s="301"/>
      <c r="P13" s="129"/>
      <c r="Q13" s="129"/>
      <c r="R13" s="300">
        <f t="shared" si="3"/>
        <v>0</v>
      </c>
    </row>
    <row r="14" spans="1:22" x14ac:dyDescent="0.25">
      <c r="A14" s="111">
        <v>12</v>
      </c>
      <c r="B14" s="110" t="s">
        <v>212</v>
      </c>
      <c r="C14" s="301">
        <v>0</v>
      </c>
      <c r="D14" s="129">
        <v>4180</v>
      </c>
      <c r="E14" s="129">
        <v>0</v>
      </c>
      <c r="F14" s="300">
        <f t="shared" si="0"/>
        <v>4180</v>
      </c>
      <c r="G14" s="301">
        <v>0</v>
      </c>
      <c r="H14" s="129">
        <v>0</v>
      </c>
      <c r="I14" s="129">
        <v>0</v>
      </c>
      <c r="J14" s="300">
        <f t="shared" si="1"/>
        <v>0</v>
      </c>
      <c r="K14" s="301"/>
      <c r="L14" s="129"/>
      <c r="M14" s="129"/>
      <c r="N14" s="300">
        <f t="shared" si="2"/>
        <v>0</v>
      </c>
      <c r="O14" s="301"/>
      <c r="P14" s="129"/>
      <c r="Q14" s="129"/>
      <c r="R14" s="300">
        <f t="shared" si="3"/>
        <v>0</v>
      </c>
    </row>
    <row r="15" spans="1:22" x14ac:dyDescent="0.25">
      <c r="A15" s="111">
        <v>13</v>
      </c>
      <c r="B15" s="110" t="s">
        <v>211</v>
      </c>
      <c r="C15" s="301">
        <v>0</v>
      </c>
      <c r="D15" s="129">
        <v>341533.22</v>
      </c>
      <c r="E15" s="129">
        <v>0</v>
      </c>
      <c r="F15" s="300">
        <f t="shared" si="0"/>
        <v>341533.22</v>
      </c>
      <c r="G15" s="301">
        <v>0</v>
      </c>
      <c r="H15" s="129">
        <v>1252.75</v>
      </c>
      <c r="I15" s="129">
        <v>0</v>
      </c>
      <c r="J15" s="300">
        <f t="shared" si="1"/>
        <v>1252.75</v>
      </c>
      <c r="K15" s="301"/>
      <c r="L15" s="129"/>
      <c r="M15" s="129"/>
      <c r="N15" s="300">
        <f t="shared" si="2"/>
        <v>0</v>
      </c>
      <c r="O15" s="301"/>
      <c r="P15" s="129"/>
      <c r="Q15" s="129"/>
      <c r="R15" s="300">
        <f t="shared" si="3"/>
        <v>0</v>
      </c>
    </row>
    <row r="16" spans="1:22" x14ac:dyDescent="0.25">
      <c r="A16" s="111">
        <v>14</v>
      </c>
      <c r="B16" s="110" t="s">
        <v>210</v>
      </c>
      <c r="C16" s="301">
        <v>0</v>
      </c>
      <c r="D16" s="129">
        <v>0</v>
      </c>
      <c r="E16" s="129">
        <v>0</v>
      </c>
      <c r="F16" s="300">
        <f t="shared" si="0"/>
        <v>0</v>
      </c>
      <c r="G16" s="301">
        <v>0</v>
      </c>
      <c r="H16" s="129">
        <v>0</v>
      </c>
      <c r="I16" s="129">
        <v>0</v>
      </c>
      <c r="J16" s="300">
        <f t="shared" si="1"/>
        <v>0</v>
      </c>
      <c r="K16" s="301"/>
      <c r="L16" s="129"/>
      <c r="M16" s="129"/>
      <c r="N16" s="300">
        <f t="shared" si="2"/>
        <v>0</v>
      </c>
      <c r="O16" s="301"/>
      <c r="P16" s="129"/>
      <c r="Q16" s="129"/>
      <c r="R16" s="300">
        <f t="shared" si="3"/>
        <v>0</v>
      </c>
    </row>
    <row r="17" spans="1:18" x14ac:dyDescent="0.25">
      <c r="A17" s="111">
        <v>15</v>
      </c>
      <c r="B17" s="110" t="s">
        <v>209</v>
      </c>
      <c r="C17" s="301">
        <v>0</v>
      </c>
      <c r="D17" s="129">
        <v>0</v>
      </c>
      <c r="E17" s="129">
        <v>0</v>
      </c>
      <c r="F17" s="300">
        <f t="shared" si="0"/>
        <v>0</v>
      </c>
      <c r="G17" s="301">
        <v>0</v>
      </c>
      <c r="H17" s="129">
        <v>0</v>
      </c>
      <c r="I17" s="129">
        <v>0</v>
      </c>
      <c r="J17" s="300">
        <f t="shared" si="1"/>
        <v>0</v>
      </c>
      <c r="K17" s="301"/>
      <c r="L17" s="129"/>
      <c r="M17" s="129"/>
      <c r="N17" s="300">
        <f t="shared" si="2"/>
        <v>0</v>
      </c>
      <c r="O17" s="301"/>
      <c r="P17" s="129"/>
      <c r="Q17" s="129"/>
      <c r="R17" s="300">
        <f t="shared" si="3"/>
        <v>0</v>
      </c>
    </row>
    <row r="18" spans="1:18" x14ac:dyDescent="0.25">
      <c r="A18" s="111">
        <v>16</v>
      </c>
      <c r="B18" s="110" t="s">
        <v>208</v>
      </c>
      <c r="C18" s="301">
        <v>1144999.95</v>
      </c>
      <c r="D18" s="129">
        <v>130739.69</v>
      </c>
      <c r="E18" s="129">
        <v>0</v>
      </c>
      <c r="F18" s="300">
        <f t="shared" si="0"/>
        <v>1275739.6399999999</v>
      </c>
      <c r="G18" s="301">
        <v>0</v>
      </c>
      <c r="H18" s="129">
        <v>0</v>
      </c>
      <c r="I18" s="129">
        <v>0</v>
      </c>
      <c r="J18" s="300">
        <f t="shared" si="1"/>
        <v>0</v>
      </c>
      <c r="K18" s="301"/>
      <c r="L18" s="129"/>
      <c r="M18" s="129"/>
      <c r="N18" s="300">
        <f t="shared" si="2"/>
        <v>0</v>
      </c>
      <c r="O18" s="301"/>
      <c r="P18" s="129"/>
      <c r="Q18" s="129"/>
      <c r="R18" s="300">
        <f t="shared" si="3"/>
        <v>0</v>
      </c>
    </row>
    <row r="19" spans="1:18" x14ac:dyDescent="0.25">
      <c r="A19" s="111">
        <v>17</v>
      </c>
      <c r="B19" s="110" t="s">
        <v>207</v>
      </c>
      <c r="C19" s="301">
        <v>0</v>
      </c>
      <c r="D19" s="129">
        <v>0</v>
      </c>
      <c r="E19" s="129">
        <v>0</v>
      </c>
      <c r="F19" s="300">
        <f t="shared" si="0"/>
        <v>0</v>
      </c>
      <c r="G19" s="301">
        <v>0</v>
      </c>
      <c r="H19" s="129">
        <v>0</v>
      </c>
      <c r="I19" s="129">
        <v>0</v>
      </c>
      <c r="J19" s="300">
        <f t="shared" si="1"/>
        <v>0</v>
      </c>
      <c r="K19" s="301"/>
      <c r="L19" s="129"/>
      <c r="M19" s="129"/>
      <c r="N19" s="300">
        <f t="shared" si="2"/>
        <v>0</v>
      </c>
      <c r="O19" s="301"/>
      <c r="P19" s="129"/>
      <c r="Q19" s="129"/>
      <c r="R19" s="300">
        <f t="shared" si="3"/>
        <v>0</v>
      </c>
    </row>
    <row r="20" spans="1:18" x14ac:dyDescent="0.25">
      <c r="A20" s="111">
        <v>18</v>
      </c>
      <c r="B20" s="110" t="s">
        <v>206</v>
      </c>
      <c r="C20" s="301">
        <v>0</v>
      </c>
      <c r="D20" s="129">
        <v>492627.19</v>
      </c>
      <c r="E20" s="129">
        <v>0</v>
      </c>
      <c r="F20" s="300">
        <f t="shared" si="0"/>
        <v>492627.19</v>
      </c>
      <c r="G20" s="301">
        <v>0</v>
      </c>
      <c r="H20" s="129">
        <v>74986.2</v>
      </c>
      <c r="I20" s="129">
        <v>0</v>
      </c>
      <c r="J20" s="300">
        <f t="shared" si="1"/>
        <v>74986.2</v>
      </c>
      <c r="K20" s="301"/>
      <c r="L20" s="129"/>
      <c r="M20" s="129"/>
      <c r="N20" s="300">
        <f t="shared" si="2"/>
        <v>0</v>
      </c>
      <c r="O20" s="301"/>
      <c r="P20" s="129"/>
      <c r="Q20" s="129"/>
      <c r="R20" s="300">
        <f t="shared" si="3"/>
        <v>0</v>
      </c>
    </row>
    <row r="21" spans="1:18" x14ac:dyDescent="0.25">
      <c r="A21" s="111">
        <v>19</v>
      </c>
      <c r="B21" s="110" t="s">
        <v>205</v>
      </c>
      <c r="C21" s="301">
        <v>0</v>
      </c>
      <c r="D21" s="129">
        <v>608513.93999999994</v>
      </c>
      <c r="E21" s="129">
        <v>0</v>
      </c>
      <c r="F21" s="300">
        <f t="shared" si="0"/>
        <v>608513.93999999994</v>
      </c>
      <c r="G21" s="301">
        <v>0</v>
      </c>
      <c r="H21" s="129">
        <v>455449.1</v>
      </c>
      <c r="I21" s="129">
        <v>0</v>
      </c>
      <c r="J21" s="300">
        <f t="shared" si="1"/>
        <v>455449.1</v>
      </c>
      <c r="K21" s="301"/>
      <c r="L21" s="129"/>
      <c r="M21" s="129"/>
      <c r="N21" s="300">
        <f t="shared" si="2"/>
        <v>0</v>
      </c>
      <c r="O21" s="301"/>
      <c r="P21" s="129"/>
      <c r="Q21" s="129"/>
      <c r="R21" s="300">
        <f t="shared" si="3"/>
        <v>0</v>
      </c>
    </row>
    <row r="22" spans="1:18" x14ac:dyDescent="0.25">
      <c r="A22" s="111">
        <v>20</v>
      </c>
      <c r="B22" s="110" t="s">
        <v>204</v>
      </c>
      <c r="C22" s="301">
        <v>0</v>
      </c>
      <c r="D22" s="129">
        <v>47695.27</v>
      </c>
      <c r="E22" s="129">
        <v>0</v>
      </c>
      <c r="F22" s="300">
        <f t="shared" si="0"/>
        <v>47695.27</v>
      </c>
      <c r="G22" s="301">
        <v>0</v>
      </c>
      <c r="H22" s="129">
        <v>546364.1</v>
      </c>
      <c r="I22" s="129">
        <v>0</v>
      </c>
      <c r="J22" s="300">
        <f t="shared" si="1"/>
        <v>546364.1</v>
      </c>
      <c r="K22" s="301"/>
      <c r="L22" s="129"/>
      <c r="M22" s="129"/>
      <c r="N22" s="300">
        <f t="shared" si="2"/>
        <v>0</v>
      </c>
      <c r="O22" s="301"/>
      <c r="P22" s="129"/>
      <c r="Q22" s="129"/>
      <c r="R22" s="300">
        <f t="shared" si="3"/>
        <v>0</v>
      </c>
    </row>
    <row r="23" spans="1:18" x14ac:dyDescent="0.25">
      <c r="A23" s="111">
        <v>21</v>
      </c>
      <c r="B23" s="110" t="s">
        <v>203</v>
      </c>
      <c r="C23" s="301">
        <v>0</v>
      </c>
      <c r="D23" s="129">
        <v>0</v>
      </c>
      <c r="E23" s="129">
        <v>0</v>
      </c>
      <c r="F23" s="300">
        <f t="shared" si="0"/>
        <v>0</v>
      </c>
      <c r="G23" s="301">
        <v>0</v>
      </c>
      <c r="H23" s="129">
        <v>0</v>
      </c>
      <c r="I23" s="129">
        <v>0</v>
      </c>
      <c r="J23" s="300">
        <f t="shared" si="1"/>
        <v>0</v>
      </c>
      <c r="K23" s="301"/>
      <c r="L23" s="129"/>
      <c r="M23" s="129"/>
      <c r="N23" s="300">
        <f t="shared" si="2"/>
        <v>0</v>
      </c>
      <c r="O23" s="301"/>
      <c r="P23" s="129"/>
      <c r="Q23" s="129"/>
      <c r="R23" s="300">
        <f t="shared" si="3"/>
        <v>0</v>
      </c>
    </row>
    <row r="24" spans="1:18" x14ac:dyDescent="0.25">
      <c r="A24" s="111">
        <v>22</v>
      </c>
      <c r="B24" s="110" t="s">
        <v>202</v>
      </c>
      <c r="C24" s="301">
        <v>0</v>
      </c>
      <c r="D24" s="129">
        <v>0</v>
      </c>
      <c r="E24" s="129">
        <v>0</v>
      </c>
      <c r="F24" s="300">
        <f t="shared" si="0"/>
        <v>0</v>
      </c>
      <c r="G24" s="301">
        <v>0</v>
      </c>
      <c r="H24" s="129">
        <v>0</v>
      </c>
      <c r="I24" s="129">
        <v>0</v>
      </c>
      <c r="J24" s="300">
        <f t="shared" si="1"/>
        <v>0</v>
      </c>
      <c r="K24" s="301"/>
      <c r="L24" s="129"/>
      <c r="M24" s="129"/>
      <c r="N24" s="300">
        <f t="shared" si="2"/>
        <v>0</v>
      </c>
      <c r="O24" s="301"/>
      <c r="P24" s="129"/>
      <c r="Q24" s="129"/>
      <c r="R24" s="300">
        <f t="shared" si="3"/>
        <v>0</v>
      </c>
    </row>
    <row r="25" spans="1:18" x14ac:dyDescent="0.25">
      <c r="A25" s="111">
        <v>23</v>
      </c>
      <c r="B25" s="110" t="s">
        <v>201</v>
      </c>
      <c r="C25" s="301">
        <v>51926.45</v>
      </c>
      <c r="D25" s="129">
        <v>64745.02</v>
      </c>
      <c r="E25" s="129">
        <v>0</v>
      </c>
      <c r="F25" s="300">
        <f t="shared" si="0"/>
        <v>116671.47</v>
      </c>
      <c r="G25" s="301">
        <v>884616.08</v>
      </c>
      <c r="H25" s="129">
        <v>0</v>
      </c>
      <c r="I25" s="129">
        <v>0</v>
      </c>
      <c r="J25" s="300">
        <f t="shared" si="1"/>
        <v>884616.08</v>
      </c>
      <c r="K25" s="301"/>
      <c r="L25" s="129"/>
      <c r="M25" s="129"/>
      <c r="N25" s="300">
        <f t="shared" si="2"/>
        <v>0</v>
      </c>
      <c r="O25" s="301"/>
      <c r="P25" s="129"/>
      <c r="Q25" s="129"/>
      <c r="R25" s="300">
        <f t="shared" si="3"/>
        <v>0</v>
      </c>
    </row>
    <row r="26" spans="1:18" x14ac:dyDescent="0.25">
      <c r="A26" s="111">
        <v>24</v>
      </c>
      <c r="B26" s="110" t="s">
        <v>200</v>
      </c>
      <c r="C26" s="301">
        <v>0</v>
      </c>
      <c r="D26" s="129">
        <v>439601.12</v>
      </c>
      <c r="E26" s="129">
        <v>0</v>
      </c>
      <c r="F26" s="300">
        <f t="shared" si="0"/>
        <v>439601.12</v>
      </c>
      <c r="G26" s="301">
        <v>0</v>
      </c>
      <c r="H26" s="129">
        <v>233908.41</v>
      </c>
      <c r="I26" s="129">
        <v>0</v>
      </c>
      <c r="J26" s="300">
        <f t="shared" si="1"/>
        <v>233908.41</v>
      </c>
      <c r="K26" s="301"/>
      <c r="L26" s="129"/>
      <c r="M26" s="129"/>
      <c r="N26" s="300">
        <f t="shared" si="2"/>
        <v>0</v>
      </c>
      <c r="O26" s="301"/>
      <c r="P26" s="129"/>
      <c r="Q26" s="129"/>
      <c r="R26" s="300">
        <f t="shared" si="3"/>
        <v>0</v>
      </c>
    </row>
    <row r="27" spans="1:18" x14ac:dyDescent="0.25">
      <c r="A27" s="111">
        <v>25</v>
      </c>
      <c r="B27" s="110" t="s">
        <v>199</v>
      </c>
      <c r="C27" s="301">
        <v>0</v>
      </c>
      <c r="D27" s="129">
        <v>0</v>
      </c>
      <c r="E27" s="129">
        <v>0</v>
      </c>
      <c r="F27" s="300">
        <f t="shared" si="0"/>
        <v>0</v>
      </c>
      <c r="G27" s="301">
        <v>0</v>
      </c>
      <c r="H27" s="129">
        <v>0</v>
      </c>
      <c r="I27" s="129">
        <v>0</v>
      </c>
      <c r="J27" s="300">
        <f t="shared" si="1"/>
        <v>0</v>
      </c>
      <c r="K27" s="301"/>
      <c r="L27" s="129"/>
      <c r="M27" s="129"/>
      <c r="N27" s="300">
        <f t="shared" si="2"/>
        <v>0</v>
      </c>
      <c r="O27" s="301"/>
      <c r="P27" s="129"/>
      <c r="Q27" s="129"/>
      <c r="R27" s="300">
        <f t="shared" si="3"/>
        <v>0</v>
      </c>
    </row>
    <row r="28" spans="1:18" x14ac:dyDescent="0.25">
      <c r="A28" s="111">
        <v>26</v>
      </c>
      <c r="B28" s="110" t="s">
        <v>198</v>
      </c>
      <c r="C28" s="301">
        <v>0</v>
      </c>
      <c r="D28" s="129">
        <v>0</v>
      </c>
      <c r="E28" s="129">
        <v>0</v>
      </c>
      <c r="F28" s="300">
        <f t="shared" si="0"/>
        <v>0</v>
      </c>
      <c r="G28" s="301">
        <v>0</v>
      </c>
      <c r="H28" s="129">
        <v>0</v>
      </c>
      <c r="I28" s="129">
        <v>0</v>
      </c>
      <c r="J28" s="300">
        <f t="shared" si="1"/>
        <v>0</v>
      </c>
      <c r="K28" s="301"/>
      <c r="L28" s="129"/>
      <c r="M28" s="129"/>
      <c r="N28" s="300">
        <f t="shared" si="2"/>
        <v>0</v>
      </c>
      <c r="O28" s="301"/>
      <c r="P28" s="129"/>
      <c r="Q28" s="129"/>
      <c r="R28" s="300">
        <f t="shared" si="3"/>
        <v>0</v>
      </c>
    </row>
    <row r="29" spans="1:18" x14ac:dyDescent="0.25">
      <c r="A29" s="111">
        <v>27</v>
      </c>
      <c r="B29" s="110" t="s">
        <v>197</v>
      </c>
      <c r="C29" s="301">
        <v>0</v>
      </c>
      <c r="D29" s="129">
        <v>12446.25</v>
      </c>
      <c r="E29" s="129">
        <v>0</v>
      </c>
      <c r="F29" s="300">
        <f t="shared" si="0"/>
        <v>12446.25</v>
      </c>
      <c r="G29" s="301">
        <v>0</v>
      </c>
      <c r="H29" s="129">
        <v>0</v>
      </c>
      <c r="I29" s="129">
        <v>0</v>
      </c>
      <c r="J29" s="300">
        <f t="shared" si="1"/>
        <v>0</v>
      </c>
      <c r="K29" s="301"/>
      <c r="L29" s="129"/>
      <c r="M29" s="129"/>
      <c r="N29" s="300">
        <f t="shared" si="2"/>
        <v>0</v>
      </c>
      <c r="O29" s="301"/>
      <c r="P29" s="129"/>
      <c r="Q29" s="129"/>
      <c r="R29" s="300">
        <f t="shared" si="3"/>
        <v>0</v>
      </c>
    </row>
    <row r="30" spans="1:18" x14ac:dyDescent="0.25">
      <c r="A30" s="111">
        <v>28</v>
      </c>
      <c r="B30" s="110" t="s">
        <v>196</v>
      </c>
      <c r="C30" s="301">
        <v>0</v>
      </c>
      <c r="D30" s="129">
        <v>0</v>
      </c>
      <c r="E30" s="129">
        <v>0</v>
      </c>
      <c r="F30" s="300">
        <f t="shared" si="0"/>
        <v>0</v>
      </c>
      <c r="G30" s="301">
        <v>0</v>
      </c>
      <c r="H30" s="129">
        <v>0</v>
      </c>
      <c r="I30" s="129">
        <v>0</v>
      </c>
      <c r="J30" s="300">
        <f t="shared" si="1"/>
        <v>0</v>
      </c>
      <c r="K30" s="301"/>
      <c r="L30" s="129"/>
      <c r="M30" s="129"/>
      <c r="N30" s="300">
        <f t="shared" si="2"/>
        <v>0</v>
      </c>
      <c r="O30" s="301"/>
      <c r="P30" s="129"/>
      <c r="Q30" s="129"/>
      <c r="R30" s="300">
        <f t="shared" si="3"/>
        <v>0</v>
      </c>
    </row>
    <row r="31" spans="1:18" x14ac:dyDescent="0.25">
      <c r="A31" s="111">
        <v>29</v>
      </c>
      <c r="B31" s="110" t="s">
        <v>195</v>
      </c>
      <c r="C31" s="301">
        <v>0</v>
      </c>
      <c r="D31" s="129">
        <v>0</v>
      </c>
      <c r="E31" s="129">
        <v>0</v>
      </c>
      <c r="F31" s="300">
        <f t="shared" si="0"/>
        <v>0</v>
      </c>
      <c r="G31" s="301">
        <v>0</v>
      </c>
      <c r="H31" s="129">
        <v>0</v>
      </c>
      <c r="I31" s="129">
        <v>0</v>
      </c>
      <c r="J31" s="300">
        <f t="shared" si="1"/>
        <v>0</v>
      </c>
      <c r="K31" s="301"/>
      <c r="L31" s="129"/>
      <c r="M31" s="129"/>
      <c r="N31" s="300">
        <f t="shared" si="2"/>
        <v>0</v>
      </c>
      <c r="O31" s="301"/>
      <c r="P31" s="129"/>
      <c r="Q31" s="129"/>
      <c r="R31" s="300">
        <f t="shared" si="3"/>
        <v>0</v>
      </c>
    </row>
    <row r="32" spans="1:18" x14ac:dyDescent="0.25">
      <c r="A32" s="111">
        <v>30</v>
      </c>
      <c r="B32" s="110" t="s">
        <v>194</v>
      </c>
      <c r="C32" s="301">
        <v>894568</v>
      </c>
      <c r="D32" s="129">
        <v>0</v>
      </c>
      <c r="E32" s="129">
        <v>0</v>
      </c>
      <c r="F32" s="300">
        <f t="shared" si="0"/>
        <v>894568</v>
      </c>
      <c r="G32" s="301">
        <v>0</v>
      </c>
      <c r="H32" s="129">
        <v>0</v>
      </c>
      <c r="I32" s="129">
        <v>0</v>
      </c>
      <c r="J32" s="300">
        <f t="shared" si="1"/>
        <v>0</v>
      </c>
      <c r="K32" s="301"/>
      <c r="L32" s="129"/>
      <c r="M32" s="129"/>
      <c r="N32" s="300">
        <f t="shared" si="2"/>
        <v>0</v>
      </c>
      <c r="O32" s="301"/>
      <c r="P32" s="129"/>
      <c r="Q32" s="129"/>
      <c r="R32" s="300">
        <f t="shared" si="3"/>
        <v>0</v>
      </c>
    </row>
    <row r="33" spans="1:18" x14ac:dyDescent="0.25">
      <c r="A33" s="111">
        <v>31</v>
      </c>
      <c r="B33" s="110" t="s">
        <v>193</v>
      </c>
      <c r="C33" s="301">
        <v>0</v>
      </c>
      <c r="D33" s="129">
        <v>436460.56</v>
      </c>
      <c r="E33" s="129">
        <v>0</v>
      </c>
      <c r="F33" s="300">
        <f t="shared" si="0"/>
        <v>436460.56</v>
      </c>
      <c r="G33" s="301">
        <v>405625.67</v>
      </c>
      <c r="H33" s="129">
        <v>13047.16</v>
      </c>
      <c r="I33" s="129">
        <v>0</v>
      </c>
      <c r="J33" s="300">
        <f t="shared" si="1"/>
        <v>418672.82999999996</v>
      </c>
      <c r="K33" s="301"/>
      <c r="L33" s="129"/>
      <c r="M33" s="129"/>
      <c r="N33" s="300">
        <f t="shared" si="2"/>
        <v>0</v>
      </c>
      <c r="O33" s="301"/>
      <c r="P33" s="129"/>
      <c r="Q33" s="129"/>
      <c r="R33" s="300">
        <f t="shared" si="3"/>
        <v>0</v>
      </c>
    </row>
    <row r="34" spans="1:18" x14ac:dyDescent="0.25">
      <c r="A34" s="111">
        <v>32</v>
      </c>
      <c r="B34" s="110" t="s">
        <v>192</v>
      </c>
      <c r="C34" s="301">
        <v>0</v>
      </c>
      <c r="D34" s="129">
        <v>0</v>
      </c>
      <c r="E34" s="129">
        <v>0</v>
      </c>
      <c r="F34" s="300">
        <f t="shared" si="0"/>
        <v>0</v>
      </c>
      <c r="G34" s="301">
        <v>0</v>
      </c>
      <c r="H34" s="129">
        <v>0</v>
      </c>
      <c r="I34" s="129">
        <v>0</v>
      </c>
      <c r="J34" s="300">
        <f t="shared" si="1"/>
        <v>0</v>
      </c>
      <c r="K34" s="301"/>
      <c r="L34" s="129"/>
      <c r="M34" s="129"/>
      <c r="N34" s="300">
        <f t="shared" si="2"/>
        <v>0</v>
      </c>
      <c r="O34" s="301"/>
      <c r="P34" s="129"/>
      <c r="Q34" s="129"/>
      <c r="R34" s="300">
        <f t="shared" si="3"/>
        <v>0</v>
      </c>
    </row>
    <row r="35" spans="1:18" x14ac:dyDescent="0.25">
      <c r="A35" s="111">
        <v>33</v>
      </c>
      <c r="B35" s="110" t="s">
        <v>191</v>
      </c>
      <c r="C35" s="301">
        <v>513934.05</v>
      </c>
      <c r="D35" s="129">
        <v>60610.26</v>
      </c>
      <c r="E35" s="129">
        <v>0</v>
      </c>
      <c r="F35" s="300">
        <f t="shared" si="0"/>
        <v>574544.30999999994</v>
      </c>
      <c r="G35" s="301">
        <v>0</v>
      </c>
      <c r="H35" s="129">
        <v>354764.17</v>
      </c>
      <c r="I35" s="129">
        <v>0</v>
      </c>
      <c r="J35" s="300">
        <f t="shared" si="1"/>
        <v>354764.17</v>
      </c>
      <c r="K35" s="301"/>
      <c r="L35" s="129"/>
      <c r="M35" s="129"/>
      <c r="N35" s="300">
        <f t="shared" si="2"/>
        <v>0</v>
      </c>
      <c r="O35" s="301"/>
      <c r="P35" s="129"/>
      <c r="Q35" s="129"/>
      <c r="R35" s="300">
        <f t="shared" si="3"/>
        <v>0</v>
      </c>
    </row>
    <row r="36" spans="1:18" x14ac:dyDescent="0.25">
      <c r="A36" s="111">
        <v>34</v>
      </c>
      <c r="B36" s="110" t="s">
        <v>190</v>
      </c>
      <c r="C36" s="301">
        <v>0</v>
      </c>
      <c r="D36" s="129">
        <v>0</v>
      </c>
      <c r="E36" s="129">
        <v>0</v>
      </c>
      <c r="F36" s="300">
        <f t="shared" si="0"/>
        <v>0</v>
      </c>
      <c r="G36" s="301">
        <v>0</v>
      </c>
      <c r="H36" s="129">
        <v>0</v>
      </c>
      <c r="I36" s="129">
        <v>0</v>
      </c>
      <c r="J36" s="300">
        <f t="shared" si="1"/>
        <v>0</v>
      </c>
      <c r="K36" s="301"/>
      <c r="L36" s="129"/>
      <c r="M36" s="129"/>
      <c r="N36" s="300">
        <f t="shared" si="2"/>
        <v>0</v>
      </c>
      <c r="O36" s="301"/>
      <c r="P36" s="129"/>
      <c r="Q36" s="129"/>
      <c r="R36" s="300">
        <f t="shared" si="3"/>
        <v>0</v>
      </c>
    </row>
    <row r="37" spans="1:18" x14ac:dyDescent="0.25">
      <c r="A37" s="111">
        <v>35</v>
      </c>
      <c r="B37" s="110" t="s">
        <v>189</v>
      </c>
      <c r="C37" s="301">
        <v>0</v>
      </c>
      <c r="D37" s="129">
        <v>1552</v>
      </c>
      <c r="E37" s="129">
        <v>0</v>
      </c>
      <c r="F37" s="300">
        <f t="shared" si="0"/>
        <v>1552</v>
      </c>
      <c r="G37" s="301">
        <v>0</v>
      </c>
      <c r="H37" s="129">
        <v>0</v>
      </c>
      <c r="I37" s="129">
        <v>0</v>
      </c>
      <c r="J37" s="300">
        <f t="shared" si="1"/>
        <v>0</v>
      </c>
      <c r="K37" s="301"/>
      <c r="L37" s="129"/>
      <c r="M37" s="129"/>
      <c r="N37" s="300">
        <f t="shared" si="2"/>
        <v>0</v>
      </c>
      <c r="O37" s="301"/>
      <c r="P37" s="129"/>
      <c r="Q37" s="129"/>
      <c r="R37" s="300">
        <f t="shared" si="3"/>
        <v>0</v>
      </c>
    </row>
    <row r="38" spans="1:18" x14ac:dyDescent="0.25">
      <c r="A38" s="111">
        <v>36</v>
      </c>
      <c r="B38" s="110" t="s">
        <v>188</v>
      </c>
      <c r="C38" s="301">
        <v>0</v>
      </c>
      <c r="D38" s="129">
        <v>0</v>
      </c>
      <c r="E38" s="129">
        <v>0</v>
      </c>
      <c r="F38" s="300">
        <f t="shared" si="0"/>
        <v>0</v>
      </c>
      <c r="G38" s="301">
        <v>0</v>
      </c>
      <c r="H38" s="129">
        <v>0</v>
      </c>
      <c r="I38" s="129">
        <v>0</v>
      </c>
      <c r="J38" s="300">
        <f t="shared" si="1"/>
        <v>0</v>
      </c>
      <c r="K38" s="301"/>
      <c r="L38" s="129"/>
      <c r="M38" s="129"/>
      <c r="N38" s="300">
        <f t="shared" si="2"/>
        <v>0</v>
      </c>
      <c r="O38" s="301"/>
      <c r="P38" s="129"/>
      <c r="Q38" s="129"/>
      <c r="R38" s="300">
        <f t="shared" si="3"/>
        <v>0</v>
      </c>
    </row>
    <row r="39" spans="1:18" x14ac:dyDescent="0.25">
      <c r="A39" s="111">
        <v>37</v>
      </c>
      <c r="B39" s="110" t="s">
        <v>187</v>
      </c>
      <c r="C39" s="301">
        <v>0</v>
      </c>
      <c r="D39" s="129">
        <v>41562.559999999998</v>
      </c>
      <c r="E39" s="129">
        <v>0</v>
      </c>
      <c r="F39" s="300">
        <f t="shared" si="0"/>
        <v>41562.559999999998</v>
      </c>
      <c r="G39" s="301">
        <v>0</v>
      </c>
      <c r="H39" s="129">
        <v>1205407.8500000001</v>
      </c>
      <c r="I39" s="129">
        <v>0</v>
      </c>
      <c r="J39" s="300">
        <f t="shared" si="1"/>
        <v>1205407.8500000001</v>
      </c>
      <c r="K39" s="301"/>
      <c r="L39" s="129"/>
      <c r="M39" s="129"/>
      <c r="N39" s="300">
        <f t="shared" si="2"/>
        <v>0</v>
      </c>
      <c r="O39" s="301"/>
      <c r="P39" s="129"/>
      <c r="Q39" s="129"/>
      <c r="R39" s="300">
        <f t="shared" si="3"/>
        <v>0</v>
      </c>
    </row>
    <row r="40" spans="1:18" x14ac:dyDescent="0.25">
      <c r="A40" s="111">
        <v>38</v>
      </c>
      <c r="B40" s="110" t="s">
        <v>186</v>
      </c>
      <c r="C40" s="301">
        <v>134128.93</v>
      </c>
      <c r="D40" s="129">
        <v>0</v>
      </c>
      <c r="E40" s="129">
        <v>0</v>
      </c>
      <c r="F40" s="300">
        <f t="shared" si="0"/>
        <v>134128.93</v>
      </c>
      <c r="G40" s="301">
        <v>0</v>
      </c>
      <c r="H40" s="129">
        <v>0</v>
      </c>
      <c r="I40" s="129">
        <v>0</v>
      </c>
      <c r="J40" s="300">
        <f t="shared" si="1"/>
        <v>0</v>
      </c>
      <c r="K40" s="301"/>
      <c r="L40" s="129"/>
      <c r="M40" s="129"/>
      <c r="N40" s="300">
        <f t="shared" si="2"/>
        <v>0</v>
      </c>
      <c r="O40" s="301"/>
      <c r="P40" s="129"/>
      <c r="Q40" s="129"/>
      <c r="R40" s="300">
        <f t="shared" si="3"/>
        <v>0</v>
      </c>
    </row>
    <row r="41" spans="1:18" x14ac:dyDescent="0.25">
      <c r="A41" s="111">
        <v>39</v>
      </c>
      <c r="B41" s="110" t="s">
        <v>185</v>
      </c>
      <c r="C41" s="301">
        <v>0</v>
      </c>
      <c r="D41" s="129">
        <v>108046.36</v>
      </c>
      <c r="E41" s="129">
        <v>0</v>
      </c>
      <c r="F41" s="300">
        <f t="shared" si="0"/>
        <v>108046.36</v>
      </c>
      <c r="G41" s="301">
        <v>73707.929999999993</v>
      </c>
      <c r="H41" s="129">
        <v>323020.21999999997</v>
      </c>
      <c r="I41" s="129">
        <v>0</v>
      </c>
      <c r="J41" s="300">
        <f t="shared" si="1"/>
        <v>396728.14999999997</v>
      </c>
      <c r="K41" s="301"/>
      <c r="L41" s="129"/>
      <c r="M41" s="129"/>
      <c r="N41" s="300">
        <f t="shared" si="2"/>
        <v>0</v>
      </c>
      <c r="O41" s="301"/>
      <c r="P41" s="129"/>
      <c r="Q41" s="129"/>
      <c r="R41" s="300">
        <f t="shared" si="3"/>
        <v>0</v>
      </c>
    </row>
    <row r="42" spans="1:18" x14ac:dyDescent="0.25">
      <c r="A42" s="111">
        <v>40</v>
      </c>
      <c r="B42" s="110" t="s">
        <v>184</v>
      </c>
      <c r="C42" s="301">
        <v>0</v>
      </c>
      <c r="D42" s="129">
        <v>420000</v>
      </c>
      <c r="E42" s="129">
        <v>0</v>
      </c>
      <c r="F42" s="300">
        <f t="shared" si="0"/>
        <v>420000</v>
      </c>
      <c r="G42" s="301">
        <v>0</v>
      </c>
      <c r="H42" s="129">
        <v>0</v>
      </c>
      <c r="I42" s="129">
        <v>0</v>
      </c>
      <c r="J42" s="300">
        <f t="shared" si="1"/>
        <v>0</v>
      </c>
      <c r="K42" s="301"/>
      <c r="L42" s="129"/>
      <c r="M42" s="129"/>
      <c r="N42" s="300">
        <f t="shared" si="2"/>
        <v>0</v>
      </c>
      <c r="O42" s="301"/>
      <c r="P42" s="129"/>
      <c r="Q42" s="129"/>
      <c r="R42" s="300">
        <f t="shared" si="3"/>
        <v>0</v>
      </c>
    </row>
    <row r="43" spans="1:18" x14ac:dyDescent="0.25">
      <c r="A43" s="111">
        <v>41</v>
      </c>
      <c r="B43" s="110" t="s">
        <v>183</v>
      </c>
      <c r="C43" s="301">
        <v>0</v>
      </c>
      <c r="D43" s="129">
        <v>0</v>
      </c>
      <c r="E43" s="129">
        <v>0</v>
      </c>
      <c r="F43" s="300">
        <f t="shared" si="0"/>
        <v>0</v>
      </c>
      <c r="G43" s="301">
        <v>0</v>
      </c>
      <c r="H43" s="129">
        <v>0</v>
      </c>
      <c r="I43" s="129">
        <v>0</v>
      </c>
      <c r="J43" s="300">
        <f t="shared" si="1"/>
        <v>0</v>
      </c>
      <c r="K43" s="301"/>
      <c r="L43" s="129"/>
      <c r="M43" s="129"/>
      <c r="N43" s="300">
        <f t="shared" si="2"/>
        <v>0</v>
      </c>
      <c r="O43" s="301"/>
      <c r="P43" s="129"/>
      <c r="Q43" s="129"/>
      <c r="R43" s="300">
        <f t="shared" si="3"/>
        <v>0</v>
      </c>
    </row>
    <row r="44" spans="1:18" x14ac:dyDescent="0.25">
      <c r="A44" s="111">
        <v>42</v>
      </c>
      <c r="B44" s="110" t="s">
        <v>182</v>
      </c>
      <c r="C44" s="301">
        <v>0</v>
      </c>
      <c r="D44" s="129">
        <v>210351.71</v>
      </c>
      <c r="E44" s="129">
        <v>0</v>
      </c>
      <c r="F44" s="300">
        <f t="shared" si="0"/>
        <v>210351.71</v>
      </c>
      <c r="G44" s="301">
        <v>0</v>
      </c>
      <c r="H44" s="129">
        <v>105630.67</v>
      </c>
      <c r="I44" s="129">
        <v>0</v>
      </c>
      <c r="J44" s="300">
        <f t="shared" si="1"/>
        <v>105630.67</v>
      </c>
      <c r="K44" s="301"/>
      <c r="L44" s="129"/>
      <c r="M44" s="129"/>
      <c r="N44" s="300">
        <f t="shared" si="2"/>
        <v>0</v>
      </c>
      <c r="O44" s="301"/>
      <c r="P44" s="129"/>
      <c r="Q44" s="129"/>
      <c r="R44" s="300">
        <f t="shared" si="3"/>
        <v>0</v>
      </c>
    </row>
    <row r="45" spans="1:18" x14ac:dyDescent="0.25">
      <c r="A45" s="111">
        <v>43</v>
      </c>
      <c r="B45" s="110" t="s">
        <v>181</v>
      </c>
      <c r="C45" s="301">
        <v>0</v>
      </c>
      <c r="D45" s="129">
        <v>0</v>
      </c>
      <c r="E45" s="129">
        <v>0</v>
      </c>
      <c r="F45" s="300">
        <f t="shared" si="0"/>
        <v>0</v>
      </c>
      <c r="G45" s="301">
        <v>0</v>
      </c>
      <c r="H45" s="129">
        <v>0</v>
      </c>
      <c r="I45" s="129">
        <v>0</v>
      </c>
      <c r="J45" s="300">
        <f t="shared" si="1"/>
        <v>0</v>
      </c>
      <c r="K45" s="301"/>
      <c r="L45" s="129"/>
      <c r="M45" s="129"/>
      <c r="N45" s="300">
        <f t="shared" si="2"/>
        <v>0</v>
      </c>
      <c r="O45" s="301"/>
      <c r="P45" s="129"/>
      <c r="Q45" s="129"/>
      <c r="R45" s="300">
        <f t="shared" si="3"/>
        <v>0</v>
      </c>
    </row>
    <row r="46" spans="1:18" x14ac:dyDescent="0.25">
      <c r="A46" s="111">
        <v>44</v>
      </c>
      <c r="B46" s="110" t="s">
        <v>180</v>
      </c>
      <c r="C46" s="301">
        <v>325449.12</v>
      </c>
      <c r="D46" s="129">
        <v>4850</v>
      </c>
      <c r="E46" s="129">
        <v>0</v>
      </c>
      <c r="F46" s="300">
        <f t="shared" si="0"/>
        <v>330299.12</v>
      </c>
      <c r="G46" s="301">
        <v>1006225.97</v>
      </c>
      <c r="H46" s="129">
        <v>631892.19999999995</v>
      </c>
      <c r="I46" s="129">
        <v>0</v>
      </c>
      <c r="J46" s="300">
        <f t="shared" si="1"/>
        <v>1638118.17</v>
      </c>
      <c r="K46" s="301"/>
      <c r="L46" s="129"/>
      <c r="M46" s="129"/>
      <c r="N46" s="300">
        <f t="shared" si="2"/>
        <v>0</v>
      </c>
      <c r="O46" s="301"/>
      <c r="P46" s="129"/>
      <c r="Q46" s="129"/>
      <c r="R46" s="300">
        <f t="shared" si="3"/>
        <v>0</v>
      </c>
    </row>
    <row r="47" spans="1:18" x14ac:dyDescent="0.25">
      <c r="A47" s="111">
        <v>45</v>
      </c>
      <c r="B47" s="110" t="s">
        <v>179</v>
      </c>
      <c r="C47" s="301">
        <v>538993.87</v>
      </c>
      <c r="D47" s="129">
        <v>753568.28</v>
      </c>
      <c r="E47" s="129">
        <v>0</v>
      </c>
      <c r="F47" s="300">
        <f t="shared" si="0"/>
        <v>1292562.1499999999</v>
      </c>
      <c r="G47" s="301">
        <v>1477666.82</v>
      </c>
      <c r="H47" s="129">
        <v>75476.31</v>
      </c>
      <c r="I47" s="129">
        <v>0</v>
      </c>
      <c r="J47" s="300">
        <f t="shared" si="1"/>
        <v>1553143.1300000001</v>
      </c>
      <c r="K47" s="301"/>
      <c r="L47" s="129"/>
      <c r="M47" s="129"/>
      <c r="N47" s="300">
        <f t="shared" si="2"/>
        <v>0</v>
      </c>
      <c r="O47" s="301"/>
      <c r="P47" s="129"/>
      <c r="Q47" s="129"/>
      <c r="R47" s="300">
        <f t="shared" si="3"/>
        <v>0</v>
      </c>
    </row>
    <row r="48" spans="1:18" x14ac:dyDescent="0.25">
      <c r="A48" s="111">
        <v>46</v>
      </c>
      <c r="B48" s="110" t="s">
        <v>178</v>
      </c>
      <c r="C48" s="301">
        <v>963624.99</v>
      </c>
      <c r="D48" s="129">
        <v>0</v>
      </c>
      <c r="E48" s="129">
        <v>0</v>
      </c>
      <c r="F48" s="300">
        <f t="shared" si="0"/>
        <v>963624.99</v>
      </c>
      <c r="G48" s="301">
        <v>0</v>
      </c>
      <c r="H48" s="129">
        <v>0</v>
      </c>
      <c r="I48" s="129">
        <v>0</v>
      </c>
      <c r="J48" s="300">
        <f t="shared" si="1"/>
        <v>0</v>
      </c>
      <c r="K48" s="301"/>
      <c r="L48" s="129"/>
      <c r="M48" s="129"/>
      <c r="N48" s="300">
        <f t="shared" si="2"/>
        <v>0</v>
      </c>
      <c r="O48" s="301"/>
      <c r="P48" s="129"/>
      <c r="Q48" s="129"/>
      <c r="R48" s="300">
        <f t="shared" si="3"/>
        <v>0</v>
      </c>
    </row>
    <row r="49" spans="1:18" x14ac:dyDescent="0.25">
      <c r="A49" s="111">
        <v>47</v>
      </c>
      <c r="B49" s="110" t="s">
        <v>177</v>
      </c>
      <c r="C49" s="301">
        <v>904000</v>
      </c>
      <c r="D49" s="129">
        <v>0</v>
      </c>
      <c r="E49" s="129">
        <v>0</v>
      </c>
      <c r="F49" s="300">
        <f t="shared" si="0"/>
        <v>904000</v>
      </c>
      <c r="G49" s="301">
        <v>0</v>
      </c>
      <c r="H49" s="129">
        <v>0</v>
      </c>
      <c r="I49" s="129">
        <v>0</v>
      </c>
      <c r="J49" s="300">
        <f t="shared" si="1"/>
        <v>0</v>
      </c>
      <c r="K49" s="301"/>
      <c r="L49" s="129"/>
      <c r="M49" s="129"/>
      <c r="N49" s="300">
        <f t="shared" si="2"/>
        <v>0</v>
      </c>
      <c r="O49" s="301"/>
      <c r="P49" s="129"/>
      <c r="Q49" s="129"/>
      <c r="R49" s="300">
        <f t="shared" si="3"/>
        <v>0</v>
      </c>
    </row>
    <row r="50" spans="1:18" x14ac:dyDescent="0.25">
      <c r="A50" s="111">
        <v>48</v>
      </c>
      <c r="B50" s="110" t="s">
        <v>176</v>
      </c>
      <c r="C50" s="301">
        <v>0</v>
      </c>
      <c r="D50" s="129">
        <v>0</v>
      </c>
      <c r="E50" s="129">
        <v>0</v>
      </c>
      <c r="F50" s="300">
        <f t="shared" si="0"/>
        <v>0</v>
      </c>
      <c r="G50" s="301">
        <v>0</v>
      </c>
      <c r="H50" s="129">
        <v>0</v>
      </c>
      <c r="I50" s="129">
        <v>0</v>
      </c>
      <c r="J50" s="300">
        <f t="shared" si="1"/>
        <v>0</v>
      </c>
      <c r="K50" s="301"/>
      <c r="L50" s="129"/>
      <c r="M50" s="129"/>
      <c r="N50" s="300">
        <f t="shared" si="2"/>
        <v>0</v>
      </c>
      <c r="O50" s="301"/>
      <c r="P50" s="129"/>
      <c r="Q50" s="129"/>
      <c r="R50" s="300">
        <f t="shared" si="3"/>
        <v>0</v>
      </c>
    </row>
    <row r="51" spans="1:18" x14ac:dyDescent="0.25">
      <c r="A51" s="111">
        <v>49</v>
      </c>
      <c r="B51" s="110" t="s">
        <v>175</v>
      </c>
      <c r="C51" s="301">
        <v>0</v>
      </c>
      <c r="D51" s="129">
        <v>0</v>
      </c>
      <c r="E51" s="129">
        <v>0</v>
      </c>
      <c r="F51" s="300">
        <f t="shared" si="0"/>
        <v>0</v>
      </c>
      <c r="G51" s="301">
        <v>0</v>
      </c>
      <c r="H51" s="129">
        <v>0</v>
      </c>
      <c r="I51" s="129">
        <v>0</v>
      </c>
      <c r="J51" s="300">
        <f t="shared" si="1"/>
        <v>0</v>
      </c>
      <c r="K51" s="301"/>
      <c r="L51" s="129"/>
      <c r="M51" s="129"/>
      <c r="N51" s="300">
        <f t="shared" si="2"/>
        <v>0</v>
      </c>
      <c r="O51" s="301"/>
      <c r="P51" s="129"/>
      <c r="Q51" s="129"/>
      <c r="R51" s="300">
        <f t="shared" si="3"/>
        <v>0</v>
      </c>
    </row>
    <row r="52" spans="1:18" x14ac:dyDescent="0.25">
      <c r="A52" s="111">
        <v>50</v>
      </c>
      <c r="B52" s="110" t="s">
        <v>174</v>
      </c>
      <c r="C52" s="301">
        <v>0.09</v>
      </c>
      <c r="D52" s="129">
        <v>574152.63</v>
      </c>
      <c r="E52" s="129">
        <v>0</v>
      </c>
      <c r="F52" s="300">
        <f t="shared" si="0"/>
        <v>574152.72</v>
      </c>
      <c r="G52" s="301">
        <v>0</v>
      </c>
      <c r="H52" s="129">
        <v>434692.43</v>
      </c>
      <c r="I52" s="129">
        <v>0</v>
      </c>
      <c r="J52" s="300">
        <f t="shared" si="1"/>
        <v>434692.43</v>
      </c>
      <c r="K52" s="301"/>
      <c r="L52" s="129"/>
      <c r="M52" s="129"/>
      <c r="N52" s="300">
        <f t="shared" si="2"/>
        <v>0</v>
      </c>
      <c r="O52" s="301"/>
      <c r="P52" s="129"/>
      <c r="Q52" s="129"/>
      <c r="R52" s="300">
        <f t="shared" si="3"/>
        <v>0</v>
      </c>
    </row>
    <row r="53" spans="1:18" x14ac:dyDescent="0.25">
      <c r="A53" s="111">
        <v>51</v>
      </c>
      <c r="B53" s="110" t="s">
        <v>173</v>
      </c>
      <c r="C53" s="301">
        <v>0</v>
      </c>
      <c r="D53" s="129">
        <v>0</v>
      </c>
      <c r="E53" s="129">
        <v>0</v>
      </c>
      <c r="F53" s="300">
        <f t="shared" si="0"/>
        <v>0</v>
      </c>
      <c r="G53" s="301">
        <v>0</v>
      </c>
      <c r="H53" s="129">
        <v>476122.79</v>
      </c>
      <c r="I53" s="129">
        <v>0</v>
      </c>
      <c r="J53" s="300">
        <f t="shared" si="1"/>
        <v>476122.79</v>
      </c>
      <c r="K53" s="301"/>
      <c r="L53" s="129"/>
      <c r="M53" s="129"/>
      <c r="N53" s="300">
        <f t="shared" si="2"/>
        <v>0</v>
      </c>
      <c r="O53" s="301"/>
      <c r="P53" s="129"/>
      <c r="Q53" s="129"/>
      <c r="R53" s="300">
        <f t="shared" si="3"/>
        <v>0</v>
      </c>
    </row>
    <row r="54" spans="1:18" x14ac:dyDescent="0.25">
      <c r="A54" s="111">
        <v>52</v>
      </c>
      <c r="B54" s="110" t="s">
        <v>172</v>
      </c>
      <c r="C54" s="301">
        <v>0</v>
      </c>
      <c r="D54" s="129">
        <v>44212.19</v>
      </c>
      <c r="E54" s="129">
        <v>0</v>
      </c>
      <c r="F54" s="300">
        <f t="shared" si="0"/>
        <v>44212.19</v>
      </c>
      <c r="G54" s="301">
        <v>0</v>
      </c>
      <c r="H54" s="129">
        <v>0</v>
      </c>
      <c r="I54" s="129">
        <v>0</v>
      </c>
      <c r="J54" s="300">
        <f t="shared" si="1"/>
        <v>0</v>
      </c>
      <c r="K54" s="301"/>
      <c r="L54" s="129"/>
      <c r="M54" s="129"/>
      <c r="N54" s="300">
        <f t="shared" si="2"/>
        <v>0</v>
      </c>
      <c r="O54" s="301"/>
      <c r="P54" s="129"/>
      <c r="Q54" s="129"/>
      <c r="R54" s="300">
        <f t="shared" si="3"/>
        <v>0</v>
      </c>
    </row>
    <row r="55" spans="1:18" x14ac:dyDescent="0.25">
      <c r="A55" s="111">
        <v>53</v>
      </c>
      <c r="B55" s="110" t="s">
        <v>171</v>
      </c>
      <c r="C55" s="301">
        <v>0</v>
      </c>
      <c r="D55" s="129">
        <v>0</v>
      </c>
      <c r="E55" s="129">
        <v>0</v>
      </c>
      <c r="F55" s="300">
        <f t="shared" si="0"/>
        <v>0</v>
      </c>
      <c r="G55" s="301">
        <v>0</v>
      </c>
      <c r="H55" s="129">
        <v>0</v>
      </c>
      <c r="I55" s="129">
        <v>0</v>
      </c>
      <c r="J55" s="300">
        <f t="shared" si="1"/>
        <v>0</v>
      </c>
      <c r="K55" s="301"/>
      <c r="L55" s="129"/>
      <c r="M55" s="129"/>
      <c r="N55" s="300">
        <f t="shared" si="2"/>
        <v>0</v>
      </c>
      <c r="O55" s="301"/>
      <c r="P55" s="129"/>
      <c r="Q55" s="129"/>
      <c r="R55" s="300">
        <f t="shared" si="3"/>
        <v>0</v>
      </c>
    </row>
    <row r="56" spans="1:18" x14ac:dyDescent="0.25">
      <c r="A56" s="111">
        <v>54</v>
      </c>
      <c r="B56" s="110" t="s">
        <v>170</v>
      </c>
      <c r="C56" s="301">
        <v>501515.96</v>
      </c>
      <c r="D56" s="129">
        <v>0</v>
      </c>
      <c r="E56" s="129">
        <v>0</v>
      </c>
      <c r="F56" s="300">
        <f t="shared" si="0"/>
        <v>501515.96</v>
      </c>
      <c r="G56" s="301">
        <v>26527.5</v>
      </c>
      <c r="H56" s="129">
        <v>0</v>
      </c>
      <c r="I56" s="129">
        <v>0</v>
      </c>
      <c r="J56" s="300">
        <f t="shared" si="1"/>
        <v>26527.5</v>
      </c>
      <c r="K56" s="301"/>
      <c r="L56" s="129"/>
      <c r="M56" s="129"/>
      <c r="N56" s="300">
        <f t="shared" si="2"/>
        <v>0</v>
      </c>
      <c r="O56" s="301"/>
      <c r="P56" s="129"/>
      <c r="Q56" s="129"/>
      <c r="R56" s="300">
        <f t="shared" si="3"/>
        <v>0</v>
      </c>
    </row>
    <row r="57" spans="1:18" x14ac:dyDescent="0.25">
      <c r="A57" s="111">
        <v>55</v>
      </c>
      <c r="B57" s="110" t="s">
        <v>169</v>
      </c>
      <c r="C57" s="301">
        <v>0</v>
      </c>
      <c r="D57" s="129">
        <v>486512.84</v>
      </c>
      <c r="E57" s="129">
        <v>0</v>
      </c>
      <c r="F57" s="300">
        <f t="shared" si="0"/>
        <v>486512.84</v>
      </c>
      <c r="G57" s="301">
        <v>0</v>
      </c>
      <c r="H57" s="129">
        <v>18871.95</v>
      </c>
      <c r="I57" s="129">
        <v>0</v>
      </c>
      <c r="J57" s="300">
        <f t="shared" si="1"/>
        <v>18871.95</v>
      </c>
      <c r="K57" s="301"/>
      <c r="L57" s="129"/>
      <c r="M57" s="129"/>
      <c r="N57" s="300">
        <f t="shared" si="2"/>
        <v>0</v>
      </c>
      <c r="O57" s="301"/>
      <c r="P57" s="129"/>
      <c r="Q57" s="129"/>
      <c r="R57" s="300">
        <f t="shared" si="3"/>
        <v>0</v>
      </c>
    </row>
    <row r="58" spans="1:18" x14ac:dyDescent="0.25">
      <c r="A58" s="111">
        <v>56</v>
      </c>
      <c r="B58" s="110" t="s">
        <v>168</v>
      </c>
      <c r="C58" s="301">
        <v>1691664.98</v>
      </c>
      <c r="D58" s="129">
        <v>0</v>
      </c>
      <c r="E58" s="129">
        <v>0</v>
      </c>
      <c r="F58" s="300">
        <f t="shared" si="0"/>
        <v>1691664.98</v>
      </c>
      <c r="G58" s="301">
        <v>0</v>
      </c>
      <c r="H58" s="129">
        <v>0</v>
      </c>
      <c r="I58" s="129">
        <v>0</v>
      </c>
      <c r="J58" s="300">
        <f t="shared" si="1"/>
        <v>0</v>
      </c>
      <c r="K58" s="301"/>
      <c r="L58" s="129"/>
      <c r="M58" s="129"/>
      <c r="N58" s="300">
        <f t="shared" si="2"/>
        <v>0</v>
      </c>
      <c r="O58" s="301"/>
      <c r="P58" s="129"/>
      <c r="Q58" s="129"/>
      <c r="R58" s="300">
        <f t="shared" si="3"/>
        <v>0</v>
      </c>
    </row>
    <row r="59" spans="1:18" x14ac:dyDescent="0.25">
      <c r="A59" s="111">
        <v>57</v>
      </c>
      <c r="B59" s="110" t="s">
        <v>167</v>
      </c>
      <c r="C59" s="301">
        <v>1099411.82</v>
      </c>
      <c r="D59" s="129">
        <v>0</v>
      </c>
      <c r="E59" s="129">
        <v>0</v>
      </c>
      <c r="F59" s="300">
        <f t="shared" si="0"/>
        <v>1099411.82</v>
      </c>
      <c r="G59" s="301">
        <v>0</v>
      </c>
      <c r="H59" s="129">
        <v>0</v>
      </c>
      <c r="I59" s="129">
        <v>0</v>
      </c>
      <c r="J59" s="300">
        <f t="shared" si="1"/>
        <v>0</v>
      </c>
      <c r="K59" s="301"/>
      <c r="L59" s="129"/>
      <c r="M59" s="129"/>
      <c r="N59" s="300">
        <f t="shared" si="2"/>
        <v>0</v>
      </c>
      <c r="O59" s="301"/>
      <c r="P59" s="129"/>
      <c r="Q59" s="129"/>
      <c r="R59" s="300">
        <f t="shared" si="3"/>
        <v>0</v>
      </c>
    </row>
    <row r="60" spans="1:18" x14ac:dyDescent="0.25">
      <c r="A60" s="111">
        <v>58</v>
      </c>
      <c r="B60" s="110" t="s">
        <v>166</v>
      </c>
      <c r="C60" s="301">
        <v>0</v>
      </c>
      <c r="D60" s="129">
        <v>0</v>
      </c>
      <c r="E60" s="129">
        <v>0</v>
      </c>
      <c r="F60" s="300">
        <f t="shared" si="0"/>
        <v>0</v>
      </c>
      <c r="G60" s="301">
        <v>0</v>
      </c>
      <c r="H60" s="129">
        <v>0</v>
      </c>
      <c r="I60" s="129">
        <v>0</v>
      </c>
      <c r="J60" s="300">
        <f t="shared" si="1"/>
        <v>0</v>
      </c>
      <c r="K60" s="301"/>
      <c r="L60" s="129"/>
      <c r="M60" s="129"/>
      <c r="N60" s="300">
        <f t="shared" si="2"/>
        <v>0</v>
      </c>
      <c r="O60" s="301"/>
      <c r="P60" s="129"/>
      <c r="Q60" s="129"/>
      <c r="R60" s="300">
        <f t="shared" si="3"/>
        <v>0</v>
      </c>
    </row>
    <row r="61" spans="1:18" x14ac:dyDescent="0.25">
      <c r="A61" s="111">
        <v>59</v>
      </c>
      <c r="B61" s="110" t="s">
        <v>165</v>
      </c>
      <c r="C61" s="301">
        <v>0</v>
      </c>
      <c r="D61" s="129">
        <v>0</v>
      </c>
      <c r="E61" s="129">
        <v>0</v>
      </c>
      <c r="F61" s="300">
        <f t="shared" si="0"/>
        <v>0</v>
      </c>
      <c r="G61" s="301">
        <v>0</v>
      </c>
      <c r="H61" s="129">
        <v>0</v>
      </c>
      <c r="I61" s="129">
        <v>0</v>
      </c>
      <c r="J61" s="300">
        <f t="shared" si="1"/>
        <v>0</v>
      </c>
      <c r="K61" s="301"/>
      <c r="L61" s="129"/>
      <c r="M61" s="129"/>
      <c r="N61" s="300">
        <f t="shared" si="2"/>
        <v>0</v>
      </c>
      <c r="O61" s="301"/>
      <c r="P61" s="129"/>
      <c r="Q61" s="129"/>
      <c r="R61" s="300">
        <f t="shared" si="3"/>
        <v>0</v>
      </c>
    </row>
    <row r="62" spans="1:18" x14ac:dyDescent="0.25">
      <c r="A62" s="111">
        <v>60</v>
      </c>
      <c r="B62" s="110" t="s">
        <v>164</v>
      </c>
      <c r="C62" s="301">
        <v>0</v>
      </c>
      <c r="D62" s="129">
        <v>0</v>
      </c>
      <c r="E62" s="129">
        <v>0</v>
      </c>
      <c r="F62" s="300">
        <f t="shared" si="0"/>
        <v>0</v>
      </c>
      <c r="G62" s="301">
        <v>0</v>
      </c>
      <c r="H62" s="129">
        <v>0</v>
      </c>
      <c r="I62" s="129">
        <v>0</v>
      </c>
      <c r="J62" s="300">
        <f t="shared" si="1"/>
        <v>0</v>
      </c>
      <c r="K62" s="301"/>
      <c r="L62" s="129"/>
      <c r="M62" s="129"/>
      <c r="N62" s="300">
        <f t="shared" si="2"/>
        <v>0</v>
      </c>
      <c r="O62" s="301"/>
      <c r="P62" s="129"/>
      <c r="Q62" s="129"/>
      <c r="R62" s="300">
        <f t="shared" si="3"/>
        <v>0</v>
      </c>
    </row>
    <row r="63" spans="1:18" x14ac:dyDescent="0.25">
      <c r="A63" s="111">
        <v>61</v>
      </c>
      <c r="B63" s="110" t="s">
        <v>163</v>
      </c>
      <c r="C63" s="301">
        <v>0</v>
      </c>
      <c r="D63" s="129">
        <v>14318.76</v>
      </c>
      <c r="E63" s="129">
        <v>0</v>
      </c>
      <c r="F63" s="300">
        <f t="shared" si="0"/>
        <v>14318.76</v>
      </c>
      <c r="G63" s="301">
        <v>0</v>
      </c>
      <c r="H63" s="129">
        <v>0</v>
      </c>
      <c r="I63" s="129">
        <v>0</v>
      </c>
      <c r="J63" s="300">
        <f t="shared" si="1"/>
        <v>0</v>
      </c>
      <c r="K63" s="301"/>
      <c r="L63" s="129"/>
      <c r="M63" s="129"/>
      <c r="N63" s="300">
        <f t="shared" si="2"/>
        <v>0</v>
      </c>
      <c r="O63" s="301"/>
      <c r="P63" s="129"/>
      <c r="Q63" s="129"/>
      <c r="R63" s="300">
        <f t="shared" si="3"/>
        <v>0</v>
      </c>
    </row>
    <row r="64" spans="1:18" x14ac:dyDescent="0.25">
      <c r="A64" s="111">
        <v>62</v>
      </c>
      <c r="B64" s="110" t="s">
        <v>162</v>
      </c>
      <c r="C64" s="301">
        <v>0</v>
      </c>
      <c r="D64" s="129">
        <v>672926.04</v>
      </c>
      <c r="E64" s="129">
        <v>0</v>
      </c>
      <c r="F64" s="300">
        <f t="shared" si="0"/>
        <v>672926.04</v>
      </c>
      <c r="G64" s="301">
        <v>0</v>
      </c>
      <c r="H64" s="129">
        <v>18118.48</v>
      </c>
      <c r="I64" s="129">
        <v>0</v>
      </c>
      <c r="J64" s="300">
        <f t="shared" si="1"/>
        <v>18118.48</v>
      </c>
      <c r="K64" s="301"/>
      <c r="L64" s="129"/>
      <c r="M64" s="129"/>
      <c r="N64" s="300">
        <f t="shared" si="2"/>
        <v>0</v>
      </c>
      <c r="O64" s="301"/>
      <c r="P64" s="129"/>
      <c r="Q64" s="129"/>
      <c r="R64" s="300">
        <f t="shared" si="3"/>
        <v>0</v>
      </c>
    </row>
    <row r="65" spans="1:18" x14ac:dyDescent="0.25">
      <c r="A65" s="111">
        <v>63</v>
      </c>
      <c r="B65" s="110" t="s">
        <v>161</v>
      </c>
      <c r="C65" s="301">
        <v>0</v>
      </c>
      <c r="D65" s="129">
        <v>643454.39</v>
      </c>
      <c r="E65" s="129">
        <v>0</v>
      </c>
      <c r="F65" s="300">
        <f t="shared" si="0"/>
        <v>643454.39</v>
      </c>
      <c r="G65" s="301">
        <v>0</v>
      </c>
      <c r="H65" s="129">
        <v>368171.91</v>
      </c>
      <c r="I65" s="129">
        <v>0</v>
      </c>
      <c r="J65" s="300">
        <f t="shared" si="1"/>
        <v>368171.91</v>
      </c>
      <c r="K65" s="301"/>
      <c r="L65" s="129"/>
      <c r="M65" s="129"/>
      <c r="N65" s="300">
        <f t="shared" si="2"/>
        <v>0</v>
      </c>
      <c r="O65" s="301"/>
      <c r="P65" s="129"/>
      <c r="Q65" s="129"/>
      <c r="R65" s="300">
        <f t="shared" si="3"/>
        <v>0</v>
      </c>
    </row>
    <row r="66" spans="1:18" x14ac:dyDescent="0.25">
      <c r="A66" s="111">
        <v>64</v>
      </c>
      <c r="B66" s="110" t="s">
        <v>160</v>
      </c>
      <c r="C66" s="301">
        <v>0</v>
      </c>
      <c r="D66" s="129">
        <v>0</v>
      </c>
      <c r="E66" s="129">
        <v>0</v>
      </c>
      <c r="F66" s="300">
        <f t="shared" si="0"/>
        <v>0</v>
      </c>
      <c r="G66" s="301">
        <v>0</v>
      </c>
      <c r="H66" s="129">
        <v>0</v>
      </c>
      <c r="I66" s="129">
        <v>0</v>
      </c>
      <c r="J66" s="300">
        <f t="shared" si="1"/>
        <v>0</v>
      </c>
      <c r="K66" s="301"/>
      <c r="L66" s="129"/>
      <c r="M66" s="129"/>
      <c r="N66" s="300">
        <f t="shared" si="2"/>
        <v>0</v>
      </c>
      <c r="O66" s="301"/>
      <c r="P66" s="129"/>
      <c r="Q66" s="129"/>
      <c r="R66" s="300">
        <f t="shared" si="3"/>
        <v>0</v>
      </c>
    </row>
    <row r="67" spans="1:18" x14ac:dyDescent="0.25">
      <c r="A67" s="111">
        <v>65</v>
      </c>
      <c r="B67" s="110" t="s">
        <v>159</v>
      </c>
      <c r="C67" s="301">
        <v>315246.26</v>
      </c>
      <c r="D67" s="129">
        <v>0</v>
      </c>
      <c r="E67" s="129">
        <v>0</v>
      </c>
      <c r="F67" s="300">
        <f t="shared" si="0"/>
        <v>315246.26</v>
      </c>
      <c r="G67" s="301">
        <v>0</v>
      </c>
      <c r="H67" s="129">
        <v>0</v>
      </c>
      <c r="I67" s="129">
        <v>0</v>
      </c>
      <c r="J67" s="300">
        <f t="shared" si="1"/>
        <v>0</v>
      </c>
      <c r="K67" s="301"/>
      <c r="L67" s="129"/>
      <c r="M67" s="129"/>
      <c r="N67" s="300">
        <f t="shared" si="2"/>
        <v>0</v>
      </c>
      <c r="O67" s="301"/>
      <c r="P67" s="129"/>
      <c r="Q67" s="129"/>
      <c r="R67" s="300">
        <f t="shared" si="3"/>
        <v>0</v>
      </c>
    </row>
    <row r="68" spans="1:18" x14ac:dyDescent="0.25">
      <c r="A68" s="111">
        <v>66</v>
      </c>
      <c r="B68" s="110" t="s">
        <v>158</v>
      </c>
      <c r="C68" s="301">
        <v>0</v>
      </c>
      <c r="D68" s="129">
        <v>0</v>
      </c>
      <c r="E68" s="129">
        <v>0</v>
      </c>
      <c r="F68" s="300">
        <f t="shared" ref="F68:F101" si="4">C68+D68+E68</f>
        <v>0</v>
      </c>
      <c r="G68" s="301">
        <v>0</v>
      </c>
      <c r="H68" s="129">
        <v>0</v>
      </c>
      <c r="I68" s="129">
        <v>0</v>
      </c>
      <c r="J68" s="300">
        <f t="shared" ref="J68:J101" si="5">G68+H68+I68</f>
        <v>0</v>
      </c>
      <c r="K68" s="301"/>
      <c r="L68" s="129"/>
      <c r="M68" s="129"/>
      <c r="N68" s="300">
        <f t="shared" ref="N68:N101" si="6">K68+L68+M68</f>
        <v>0</v>
      </c>
      <c r="O68" s="301"/>
      <c r="P68" s="129"/>
      <c r="Q68" s="129"/>
      <c r="R68" s="300">
        <f t="shared" ref="R68:R101" si="7">O68+P68+Q68</f>
        <v>0</v>
      </c>
    </row>
    <row r="69" spans="1:18" x14ac:dyDescent="0.25">
      <c r="A69" s="111">
        <v>67</v>
      </c>
      <c r="B69" s="110" t="s">
        <v>157</v>
      </c>
      <c r="C69" s="301">
        <v>0</v>
      </c>
      <c r="D69" s="129">
        <v>0</v>
      </c>
      <c r="E69" s="129">
        <v>0</v>
      </c>
      <c r="F69" s="300">
        <f t="shared" si="4"/>
        <v>0</v>
      </c>
      <c r="G69" s="301">
        <v>0</v>
      </c>
      <c r="H69" s="129">
        <v>0</v>
      </c>
      <c r="I69" s="129">
        <v>0</v>
      </c>
      <c r="J69" s="300">
        <f t="shared" si="5"/>
        <v>0</v>
      </c>
      <c r="K69" s="301"/>
      <c r="L69" s="129"/>
      <c r="M69" s="129"/>
      <c r="N69" s="300">
        <f t="shared" si="6"/>
        <v>0</v>
      </c>
      <c r="O69" s="301"/>
      <c r="P69" s="129"/>
      <c r="Q69" s="129"/>
      <c r="R69" s="300">
        <f t="shared" si="7"/>
        <v>0</v>
      </c>
    </row>
    <row r="70" spans="1:18" x14ac:dyDescent="0.25">
      <c r="A70" s="111">
        <v>68</v>
      </c>
      <c r="B70" s="110" t="s">
        <v>156</v>
      </c>
      <c r="C70" s="301">
        <v>87536.11</v>
      </c>
      <c r="D70" s="129">
        <v>0</v>
      </c>
      <c r="E70" s="129">
        <v>0</v>
      </c>
      <c r="F70" s="300">
        <f t="shared" si="4"/>
        <v>87536.11</v>
      </c>
      <c r="G70" s="301">
        <v>24000</v>
      </c>
      <c r="H70" s="129">
        <v>0</v>
      </c>
      <c r="I70" s="129">
        <v>0</v>
      </c>
      <c r="J70" s="300">
        <f t="shared" si="5"/>
        <v>24000</v>
      </c>
      <c r="K70" s="301"/>
      <c r="L70" s="129"/>
      <c r="M70" s="129"/>
      <c r="N70" s="300">
        <f t="shared" si="6"/>
        <v>0</v>
      </c>
      <c r="O70" s="301"/>
      <c r="P70" s="129"/>
      <c r="Q70" s="129"/>
      <c r="R70" s="300">
        <f t="shared" si="7"/>
        <v>0</v>
      </c>
    </row>
    <row r="71" spans="1:18" x14ac:dyDescent="0.25">
      <c r="A71" s="111">
        <v>69</v>
      </c>
      <c r="B71" s="110" t="s">
        <v>155</v>
      </c>
      <c r="C71" s="301">
        <v>353854.03</v>
      </c>
      <c r="D71" s="129">
        <v>0</v>
      </c>
      <c r="E71" s="129">
        <v>0</v>
      </c>
      <c r="F71" s="300">
        <f t="shared" si="4"/>
        <v>353854.03</v>
      </c>
      <c r="G71" s="301">
        <v>181454.83</v>
      </c>
      <c r="H71" s="129">
        <v>0</v>
      </c>
      <c r="I71" s="129">
        <v>0</v>
      </c>
      <c r="J71" s="300">
        <f t="shared" si="5"/>
        <v>181454.83</v>
      </c>
      <c r="K71" s="301"/>
      <c r="L71" s="129"/>
      <c r="M71" s="129"/>
      <c r="N71" s="300">
        <f t="shared" si="6"/>
        <v>0</v>
      </c>
      <c r="O71" s="301"/>
      <c r="P71" s="129"/>
      <c r="Q71" s="129"/>
      <c r="R71" s="300">
        <f t="shared" si="7"/>
        <v>0</v>
      </c>
    </row>
    <row r="72" spans="1:18" x14ac:dyDescent="0.25">
      <c r="A72" s="111">
        <v>70</v>
      </c>
      <c r="B72" s="110" t="s">
        <v>154</v>
      </c>
      <c r="C72" s="301">
        <v>0</v>
      </c>
      <c r="D72" s="129">
        <v>0</v>
      </c>
      <c r="E72" s="129">
        <v>0</v>
      </c>
      <c r="F72" s="300">
        <f t="shared" si="4"/>
        <v>0</v>
      </c>
      <c r="G72" s="301">
        <v>0</v>
      </c>
      <c r="H72" s="129">
        <v>0</v>
      </c>
      <c r="I72" s="129">
        <v>0</v>
      </c>
      <c r="J72" s="300">
        <f t="shared" si="5"/>
        <v>0</v>
      </c>
      <c r="K72" s="301"/>
      <c r="L72" s="129"/>
      <c r="M72" s="129"/>
      <c r="N72" s="300">
        <f t="shared" si="6"/>
        <v>0</v>
      </c>
      <c r="O72" s="301"/>
      <c r="P72" s="129"/>
      <c r="Q72" s="129"/>
      <c r="R72" s="300">
        <f t="shared" si="7"/>
        <v>0</v>
      </c>
    </row>
    <row r="73" spans="1:18" x14ac:dyDescent="0.25">
      <c r="A73" s="111">
        <v>71</v>
      </c>
      <c r="B73" s="110" t="s">
        <v>153</v>
      </c>
      <c r="C73" s="301">
        <v>937193.65</v>
      </c>
      <c r="D73" s="129">
        <v>0</v>
      </c>
      <c r="E73" s="129">
        <v>0</v>
      </c>
      <c r="F73" s="300">
        <f t="shared" si="4"/>
        <v>937193.65</v>
      </c>
      <c r="G73" s="301">
        <v>0</v>
      </c>
      <c r="H73" s="129">
        <v>0</v>
      </c>
      <c r="I73" s="129">
        <v>0</v>
      </c>
      <c r="J73" s="300">
        <f t="shared" si="5"/>
        <v>0</v>
      </c>
      <c r="K73" s="301"/>
      <c r="L73" s="129"/>
      <c r="M73" s="129"/>
      <c r="N73" s="300">
        <f t="shared" si="6"/>
        <v>0</v>
      </c>
      <c r="O73" s="301"/>
      <c r="P73" s="129"/>
      <c r="Q73" s="129"/>
      <c r="R73" s="300">
        <f t="shared" si="7"/>
        <v>0</v>
      </c>
    </row>
    <row r="74" spans="1:18" x14ac:dyDescent="0.25">
      <c r="A74" s="111">
        <v>72</v>
      </c>
      <c r="B74" s="110" t="s">
        <v>152</v>
      </c>
      <c r="C74" s="301">
        <v>0</v>
      </c>
      <c r="D74" s="129">
        <v>0</v>
      </c>
      <c r="E74" s="129">
        <v>0</v>
      </c>
      <c r="F74" s="300">
        <f t="shared" si="4"/>
        <v>0</v>
      </c>
      <c r="G74" s="301">
        <v>2728670.05</v>
      </c>
      <c r="H74" s="129">
        <v>0</v>
      </c>
      <c r="I74" s="129">
        <v>0</v>
      </c>
      <c r="J74" s="300">
        <f t="shared" si="5"/>
        <v>2728670.05</v>
      </c>
      <c r="K74" s="301"/>
      <c r="L74" s="129"/>
      <c r="M74" s="129"/>
      <c r="N74" s="300">
        <f t="shared" si="6"/>
        <v>0</v>
      </c>
      <c r="O74" s="301"/>
      <c r="P74" s="129"/>
      <c r="Q74" s="129"/>
      <c r="R74" s="300">
        <f t="shared" si="7"/>
        <v>0</v>
      </c>
    </row>
    <row r="75" spans="1:18" x14ac:dyDescent="0.25">
      <c r="A75" s="111">
        <v>73</v>
      </c>
      <c r="B75" s="110" t="s">
        <v>151</v>
      </c>
      <c r="C75" s="301">
        <v>0</v>
      </c>
      <c r="D75" s="129">
        <v>0</v>
      </c>
      <c r="E75" s="129">
        <v>0</v>
      </c>
      <c r="F75" s="300">
        <f t="shared" si="4"/>
        <v>0</v>
      </c>
      <c r="G75" s="301">
        <v>0</v>
      </c>
      <c r="H75" s="129">
        <v>0</v>
      </c>
      <c r="I75" s="129">
        <v>0</v>
      </c>
      <c r="J75" s="300">
        <f t="shared" si="5"/>
        <v>0</v>
      </c>
      <c r="K75" s="301"/>
      <c r="L75" s="129"/>
      <c r="M75" s="129"/>
      <c r="N75" s="300">
        <f t="shared" si="6"/>
        <v>0</v>
      </c>
      <c r="O75" s="301"/>
      <c r="P75" s="129"/>
      <c r="Q75" s="129"/>
      <c r="R75" s="300">
        <f t="shared" si="7"/>
        <v>0</v>
      </c>
    </row>
    <row r="76" spans="1:18" x14ac:dyDescent="0.25">
      <c r="A76" s="111">
        <v>74</v>
      </c>
      <c r="B76" s="110" t="s">
        <v>150</v>
      </c>
      <c r="C76" s="301">
        <v>0</v>
      </c>
      <c r="D76" s="129">
        <v>0</v>
      </c>
      <c r="E76" s="129">
        <v>0</v>
      </c>
      <c r="F76" s="300">
        <f t="shared" si="4"/>
        <v>0</v>
      </c>
      <c r="G76" s="301">
        <v>0</v>
      </c>
      <c r="H76" s="129">
        <v>0</v>
      </c>
      <c r="I76" s="129">
        <v>0</v>
      </c>
      <c r="J76" s="300">
        <f t="shared" si="5"/>
        <v>0</v>
      </c>
      <c r="K76" s="301"/>
      <c r="L76" s="129"/>
      <c r="M76" s="129"/>
      <c r="N76" s="300">
        <f t="shared" si="6"/>
        <v>0</v>
      </c>
      <c r="O76" s="301"/>
      <c r="P76" s="129"/>
      <c r="Q76" s="129"/>
      <c r="R76" s="300">
        <f t="shared" si="7"/>
        <v>0</v>
      </c>
    </row>
    <row r="77" spans="1:18" x14ac:dyDescent="0.25">
      <c r="A77" s="111">
        <v>75</v>
      </c>
      <c r="B77" s="110" t="s">
        <v>149</v>
      </c>
      <c r="C77" s="301">
        <v>0</v>
      </c>
      <c r="D77" s="129">
        <v>0</v>
      </c>
      <c r="E77" s="129">
        <v>0</v>
      </c>
      <c r="F77" s="300">
        <f t="shared" si="4"/>
        <v>0</v>
      </c>
      <c r="G77" s="301">
        <v>0</v>
      </c>
      <c r="H77" s="129">
        <v>0</v>
      </c>
      <c r="I77" s="129">
        <v>0</v>
      </c>
      <c r="J77" s="300">
        <f t="shared" si="5"/>
        <v>0</v>
      </c>
      <c r="K77" s="301"/>
      <c r="L77" s="129"/>
      <c r="M77" s="129"/>
      <c r="N77" s="300">
        <f t="shared" si="6"/>
        <v>0</v>
      </c>
      <c r="O77" s="301"/>
      <c r="P77" s="129"/>
      <c r="Q77" s="129"/>
      <c r="R77" s="300">
        <f t="shared" si="7"/>
        <v>0</v>
      </c>
    </row>
    <row r="78" spans="1:18" x14ac:dyDescent="0.25">
      <c r="A78" s="111">
        <v>76</v>
      </c>
      <c r="B78" s="110" t="s">
        <v>148</v>
      </c>
      <c r="C78" s="301">
        <v>1314138.54</v>
      </c>
      <c r="D78" s="129">
        <v>0</v>
      </c>
      <c r="E78" s="129">
        <v>0</v>
      </c>
      <c r="F78" s="300">
        <f t="shared" si="4"/>
        <v>1314138.54</v>
      </c>
      <c r="G78" s="301">
        <v>185861.44</v>
      </c>
      <c r="H78" s="129">
        <v>0</v>
      </c>
      <c r="I78" s="129">
        <v>0</v>
      </c>
      <c r="J78" s="300">
        <f t="shared" si="5"/>
        <v>185861.44</v>
      </c>
      <c r="K78" s="301"/>
      <c r="L78" s="129"/>
      <c r="M78" s="129"/>
      <c r="N78" s="300">
        <f t="shared" si="6"/>
        <v>0</v>
      </c>
      <c r="O78" s="301"/>
      <c r="P78" s="129"/>
      <c r="Q78" s="129"/>
      <c r="R78" s="300">
        <f t="shared" si="7"/>
        <v>0</v>
      </c>
    </row>
    <row r="79" spans="1:18" x14ac:dyDescent="0.25">
      <c r="A79" s="111">
        <v>77</v>
      </c>
      <c r="B79" s="110" t="s">
        <v>147</v>
      </c>
      <c r="C79" s="301">
        <v>2622760.4900000002</v>
      </c>
      <c r="D79" s="129">
        <v>0</v>
      </c>
      <c r="E79" s="129">
        <v>0</v>
      </c>
      <c r="F79" s="300">
        <f t="shared" si="4"/>
        <v>2622760.4900000002</v>
      </c>
      <c r="G79" s="301">
        <v>3339115.04</v>
      </c>
      <c r="H79" s="129">
        <v>0</v>
      </c>
      <c r="I79" s="129">
        <v>0</v>
      </c>
      <c r="J79" s="300">
        <f t="shared" si="5"/>
        <v>3339115.04</v>
      </c>
      <c r="K79" s="301"/>
      <c r="L79" s="129"/>
      <c r="M79" s="129"/>
      <c r="N79" s="300">
        <f t="shared" si="6"/>
        <v>0</v>
      </c>
      <c r="O79" s="301"/>
      <c r="P79" s="129"/>
      <c r="Q79" s="129"/>
      <c r="R79" s="300">
        <f t="shared" si="7"/>
        <v>0</v>
      </c>
    </row>
    <row r="80" spans="1:18" x14ac:dyDescent="0.25">
      <c r="A80" s="111">
        <v>78</v>
      </c>
      <c r="B80" s="110" t="s">
        <v>146</v>
      </c>
      <c r="C80" s="301">
        <v>0</v>
      </c>
      <c r="D80" s="129">
        <v>0</v>
      </c>
      <c r="E80" s="129">
        <v>0</v>
      </c>
      <c r="F80" s="300">
        <f t="shared" si="4"/>
        <v>0</v>
      </c>
      <c r="G80" s="301">
        <v>0</v>
      </c>
      <c r="H80" s="129">
        <v>0</v>
      </c>
      <c r="I80" s="129">
        <v>0</v>
      </c>
      <c r="J80" s="300">
        <f t="shared" si="5"/>
        <v>0</v>
      </c>
      <c r="K80" s="301"/>
      <c r="L80" s="129"/>
      <c r="M80" s="129"/>
      <c r="N80" s="300">
        <f t="shared" si="6"/>
        <v>0</v>
      </c>
      <c r="O80" s="301"/>
      <c r="P80" s="129"/>
      <c r="Q80" s="129"/>
      <c r="R80" s="300">
        <f t="shared" si="7"/>
        <v>0</v>
      </c>
    </row>
    <row r="81" spans="1:18" x14ac:dyDescent="0.25">
      <c r="A81" s="111">
        <v>79</v>
      </c>
      <c r="B81" s="110" t="s">
        <v>145</v>
      </c>
      <c r="C81" s="301">
        <v>0</v>
      </c>
      <c r="D81" s="129">
        <v>0</v>
      </c>
      <c r="E81" s="129">
        <v>0</v>
      </c>
      <c r="F81" s="300">
        <f t="shared" si="4"/>
        <v>0</v>
      </c>
      <c r="G81" s="301">
        <v>0</v>
      </c>
      <c r="H81" s="129">
        <v>378526.56</v>
      </c>
      <c r="I81" s="129">
        <v>0</v>
      </c>
      <c r="J81" s="300">
        <f t="shared" si="5"/>
        <v>378526.56</v>
      </c>
      <c r="K81" s="301"/>
      <c r="L81" s="129"/>
      <c r="M81" s="129"/>
      <c r="N81" s="300">
        <f t="shared" si="6"/>
        <v>0</v>
      </c>
      <c r="O81" s="301"/>
      <c r="P81" s="129"/>
      <c r="Q81" s="129"/>
      <c r="R81" s="300">
        <f t="shared" si="7"/>
        <v>0</v>
      </c>
    </row>
    <row r="82" spans="1:18" x14ac:dyDescent="0.25">
      <c r="A82" s="111">
        <v>80</v>
      </c>
      <c r="B82" s="110" t="s">
        <v>144</v>
      </c>
      <c r="C82" s="301">
        <v>0</v>
      </c>
      <c r="D82" s="129">
        <v>0</v>
      </c>
      <c r="E82" s="129">
        <v>0</v>
      </c>
      <c r="F82" s="300">
        <f t="shared" si="4"/>
        <v>0</v>
      </c>
      <c r="G82" s="301">
        <v>0</v>
      </c>
      <c r="H82" s="129">
        <v>534015.17000000004</v>
      </c>
      <c r="I82" s="129">
        <v>0</v>
      </c>
      <c r="J82" s="300">
        <f t="shared" si="5"/>
        <v>534015.17000000004</v>
      </c>
      <c r="K82" s="301"/>
      <c r="L82" s="129"/>
      <c r="M82" s="129"/>
      <c r="N82" s="300">
        <f t="shared" si="6"/>
        <v>0</v>
      </c>
      <c r="O82" s="301"/>
      <c r="P82" s="129"/>
      <c r="Q82" s="129"/>
      <c r="R82" s="300">
        <f t="shared" si="7"/>
        <v>0</v>
      </c>
    </row>
    <row r="83" spans="1:18" x14ac:dyDescent="0.25">
      <c r="A83" s="111">
        <v>81</v>
      </c>
      <c r="B83" s="110" t="s">
        <v>143</v>
      </c>
      <c r="C83" s="301">
        <v>0</v>
      </c>
      <c r="D83" s="129">
        <v>0</v>
      </c>
      <c r="E83" s="129">
        <v>0</v>
      </c>
      <c r="F83" s="300">
        <f t="shared" si="4"/>
        <v>0</v>
      </c>
      <c r="G83" s="301">
        <v>0</v>
      </c>
      <c r="H83" s="129">
        <v>0</v>
      </c>
      <c r="I83" s="129">
        <v>0</v>
      </c>
      <c r="J83" s="300">
        <f t="shared" si="5"/>
        <v>0</v>
      </c>
      <c r="K83" s="301"/>
      <c r="L83" s="129"/>
      <c r="M83" s="129"/>
      <c r="N83" s="300">
        <f t="shared" si="6"/>
        <v>0</v>
      </c>
      <c r="O83" s="301"/>
      <c r="P83" s="129"/>
      <c r="Q83" s="129"/>
      <c r="R83" s="300">
        <f t="shared" si="7"/>
        <v>0</v>
      </c>
    </row>
    <row r="84" spans="1:18" x14ac:dyDescent="0.25">
      <c r="A84" s="111">
        <v>82</v>
      </c>
      <c r="B84" s="110" t="s">
        <v>142</v>
      </c>
      <c r="C84" s="301">
        <v>1013820.6</v>
      </c>
      <c r="D84" s="129">
        <v>1334612.43</v>
      </c>
      <c r="E84" s="129">
        <v>0</v>
      </c>
      <c r="F84" s="300">
        <f t="shared" si="4"/>
        <v>2348433.0299999998</v>
      </c>
      <c r="G84" s="301">
        <v>478852.92</v>
      </c>
      <c r="H84" s="129">
        <v>58719.33</v>
      </c>
      <c r="I84" s="129">
        <v>0</v>
      </c>
      <c r="J84" s="300">
        <f t="shared" si="5"/>
        <v>537572.25</v>
      </c>
      <c r="K84" s="301"/>
      <c r="L84" s="129"/>
      <c r="M84" s="129"/>
      <c r="N84" s="300">
        <f t="shared" si="6"/>
        <v>0</v>
      </c>
      <c r="O84" s="301"/>
      <c r="P84" s="129"/>
      <c r="Q84" s="129"/>
      <c r="R84" s="300">
        <f t="shared" si="7"/>
        <v>0</v>
      </c>
    </row>
    <row r="85" spans="1:18" x14ac:dyDescent="0.25">
      <c r="A85" s="111">
        <v>83</v>
      </c>
      <c r="B85" s="110" t="s">
        <v>141</v>
      </c>
      <c r="C85" s="301">
        <v>0</v>
      </c>
      <c r="D85" s="129">
        <v>0</v>
      </c>
      <c r="E85" s="129">
        <v>0</v>
      </c>
      <c r="F85" s="300">
        <f t="shared" si="4"/>
        <v>0</v>
      </c>
      <c r="G85" s="301">
        <v>0</v>
      </c>
      <c r="H85" s="129">
        <v>0</v>
      </c>
      <c r="I85" s="129">
        <v>0</v>
      </c>
      <c r="J85" s="300">
        <f t="shared" si="5"/>
        <v>0</v>
      </c>
      <c r="K85" s="301"/>
      <c r="L85" s="129"/>
      <c r="M85" s="129"/>
      <c r="N85" s="300">
        <f t="shared" si="6"/>
        <v>0</v>
      </c>
      <c r="O85" s="301"/>
      <c r="P85" s="129"/>
      <c r="Q85" s="129"/>
      <c r="R85" s="300">
        <f t="shared" si="7"/>
        <v>0</v>
      </c>
    </row>
    <row r="86" spans="1:18" x14ac:dyDescent="0.25">
      <c r="A86" s="111">
        <v>84</v>
      </c>
      <c r="B86" s="110" t="s">
        <v>140</v>
      </c>
      <c r="C86" s="301">
        <v>0</v>
      </c>
      <c r="D86" s="129">
        <v>0</v>
      </c>
      <c r="E86" s="129">
        <v>0</v>
      </c>
      <c r="F86" s="300">
        <f t="shared" si="4"/>
        <v>0</v>
      </c>
      <c r="G86" s="301">
        <v>0</v>
      </c>
      <c r="H86" s="129">
        <v>0</v>
      </c>
      <c r="I86" s="129">
        <v>0</v>
      </c>
      <c r="J86" s="300">
        <f t="shared" si="5"/>
        <v>0</v>
      </c>
      <c r="K86" s="301"/>
      <c r="L86" s="129"/>
      <c r="M86" s="129"/>
      <c r="N86" s="300">
        <f t="shared" si="6"/>
        <v>0</v>
      </c>
      <c r="O86" s="301"/>
      <c r="P86" s="129"/>
      <c r="Q86" s="129"/>
      <c r="R86" s="300">
        <f t="shared" si="7"/>
        <v>0</v>
      </c>
    </row>
    <row r="87" spans="1:18" x14ac:dyDescent="0.25">
      <c r="A87" s="111">
        <v>85</v>
      </c>
      <c r="B87" s="110" t="s">
        <v>139</v>
      </c>
      <c r="C87" s="301">
        <v>0</v>
      </c>
      <c r="D87" s="129">
        <v>0</v>
      </c>
      <c r="E87" s="129">
        <v>0</v>
      </c>
      <c r="F87" s="300">
        <f t="shared" si="4"/>
        <v>0</v>
      </c>
      <c r="G87" s="301">
        <v>1031348.97</v>
      </c>
      <c r="H87" s="129">
        <v>0</v>
      </c>
      <c r="I87" s="129">
        <v>0</v>
      </c>
      <c r="J87" s="300">
        <f t="shared" si="5"/>
        <v>1031348.97</v>
      </c>
      <c r="K87" s="301"/>
      <c r="L87" s="129"/>
      <c r="M87" s="129"/>
      <c r="N87" s="300">
        <f t="shared" si="6"/>
        <v>0</v>
      </c>
      <c r="O87" s="301"/>
      <c r="P87" s="129"/>
      <c r="Q87" s="129"/>
      <c r="R87" s="300">
        <f t="shared" si="7"/>
        <v>0</v>
      </c>
    </row>
    <row r="88" spans="1:18" x14ac:dyDescent="0.25">
      <c r="A88" s="111">
        <v>86</v>
      </c>
      <c r="B88" s="110" t="s">
        <v>138</v>
      </c>
      <c r="C88" s="301">
        <v>0</v>
      </c>
      <c r="D88" s="129">
        <v>0</v>
      </c>
      <c r="E88" s="129">
        <v>0</v>
      </c>
      <c r="F88" s="300">
        <f t="shared" si="4"/>
        <v>0</v>
      </c>
      <c r="G88" s="301">
        <v>0</v>
      </c>
      <c r="H88" s="129">
        <v>0</v>
      </c>
      <c r="I88" s="129">
        <v>0</v>
      </c>
      <c r="J88" s="300">
        <f t="shared" si="5"/>
        <v>0</v>
      </c>
      <c r="K88" s="301"/>
      <c r="L88" s="129"/>
      <c r="M88" s="129"/>
      <c r="N88" s="300">
        <f t="shared" si="6"/>
        <v>0</v>
      </c>
      <c r="O88" s="301"/>
      <c r="P88" s="129"/>
      <c r="Q88" s="129"/>
      <c r="R88" s="300">
        <f t="shared" si="7"/>
        <v>0</v>
      </c>
    </row>
    <row r="89" spans="1:18" x14ac:dyDescent="0.25">
      <c r="A89" s="111">
        <v>87</v>
      </c>
      <c r="B89" s="110" t="s">
        <v>137</v>
      </c>
      <c r="C89" s="301">
        <v>562424.01</v>
      </c>
      <c r="D89" s="129">
        <v>0</v>
      </c>
      <c r="E89" s="129">
        <v>0</v>
      </c>
      <c r="F89" s="300">
        <f t="shared" si="4"/>
        <v>562424.01</v>
      </c>
      <c r="G89" s="301">
        <v>627275.18999999994</v>
      </c>
      <c r="H89" s="129">
        <v>0</v>
      </c>
      <c r="I89" s="129">
        <v>0</v>
      </c>
      <c r="J89" s="300">
        <f t="shared" si="5"/>
        <v>627275.18999999994</v>
      </c>
      <c r="K89" s="301"/>
      <c r="L89" s="129"/>
      <c r="M89" s="129"/>
      <c r="N89" s="300">
        <f t="shared" si="6"/>
        <v>0</v>
      </c>
      <c r="O89" s="301"/>
      <c r="P89" s="129"/>
      <c r="Q89" s="129"/>
      <c r="R89" s="300">
        <f t="shared" si="7"/>
        <v>0</v>
      </c>
    </row>
    <row r="90" spans="1:18" x14ac:dyDescent="0.25">
      <c r="A90" s="111">
        <v>88</v>
      </c>
      <c r="B90" s="110" t="s">
        <v>136</v>
      </c>
      <c r="C90" s="301">
        <v>0</v>
      </c>
      <c r="D90" s="129">
        <v>0</v>
      </c>
      <c r="E90" s="129">
        <v>0</v>
      </c>
      <c r="F90" s="300">
        <f t="shared" si="4"/>
        <v>0</v>
      </c>
      <c r="G90" s="301">
        <v>0</v>
      </c>
      <c r="H90" s="129">
        <v>0</v>
      </c>
      <c r="I90" s="129">
        <v>0</v>
      </c>
      <c r="J90" s="300">
        <f t="shared" si="5"/>
        <v>0</v>
      </c>
      <c r="K90" s="301"/>
      <c r="L90" s="129"/>
      <c r="M90" s="129"/>
      <c r="N90" s="300">
        <f t="shared" si="6"/>
        <v>0</v>
      </c>
      <c r="O90" s="301"/>
      <c r="P90" s="129"/>
      <c r="Q90" s="129"/>
      <c r="R90" s="300">
        <f t="shared" si="7"/>
        <v>0</v>
      </c>
    </row>
    <row r="91" spans="1:18" x14ac:dyDescent="0.25">
      <c r="A91" s="111">
        <v>89</v>
      </c>
      <c r="B91" s="110" t="s">
        <v>135</v>
      </c>
      <c r="C91" s="301">
        <v>0</v>
      </c>
      <c r="D91" s="129">
        <v>0</v>
      </c>
      <c r="E91" s="129">
        <v>0</v>
      </c>
      <c r="F91" s="300">
        <f t="shared" si="4"/>
        <v>0</v>
      </c>
      <c r="G91" s="301">
        <v>42898.7</v>
      </c>
      <c r="H91" s="129">
        <v>0</v>
      </c>
      <c r="I91" s="129">
        <v>0</v>
      </c>
      <c r="J91" s="300">
        <f t="shared" si="5"/>
        <v>42898.7</v>
      </c>
      <c r="K91" s="301"/>
      <c r="L91" s="129"/>
      <c r="M91" s="129"/>
      <c r="N91" s="300">
        <f t="shared" si="6"/>
        <v>0</v>
      </c>
      <c r="O91" s="301"/>
      <c r="P91" s="129"/>
      <c r="Q91" s="129"/>
      <c r="R91" s="300">
        <f t="shared" si="7"/>
        <v>0</v>
      </c>
    </row>
    <row r="92" spans="1:18" x14ac:dyDescent="0.25">
      <c r="A92" s="111">
        <v>90</v>
      </c>
      <c r="B92" s="110" t="s">
        <v>134</v>
      </c>
      <c r="C92" s="301">
        <v>0</v>
      </c>
      <c r="D92" s="129">
        <v>4966.3999999999996</v>
      </c>
      <c r="E92" s="129">
        <v>0</v>
      </c>
      <c r="F92" s="300">
        <f t="shared" si="4"/>
        <v>4966.3999999999996</v>
      </c>
      <c r="G92" s="301">
        <v>0</v>
      </c>
      <c r="H92" s="129">
        <v>29542.34</v>
      </c>
      <c r="I92" s="129">
        <v>0</v>
      </c>
      <c r="J92" s="300">
        <f t="shared" si="5"/>
        <v>29542.34</v>
      </c>
      <c r="K92" s="301"/>
      <c r="L92" s="129"/>
      <c r="M92" s="129"/>
      <c r="N92" s="300">
        <f t="shared" si="6"/>
        <v>0</v>
      </c>
      <c r="O92" s="301"/>
      <c r="P92" s="129"/>
      <c r="Q92" s="129"/>
      <c r="R92" s="300">
        <f t="shared" si="7"/>
        <v>0</v>
      </c>
    </row>
    <row r="93" spans="1:18" x14ac:dyDescent="0.25">
      <c r="A93" s="111">
        <v>91</v>
      </c>
      <c r="B93" s="110" t="s">
        <v>133</v>
      </c>
      <c r="C93" s="301">
        <v>0</v>
      </c>
      <c r="D93" s="129">
        <v>0</v>
      </c>
      <c r="E93" s="129">
        <v>0</v>
      </c>
      <c r="F93" s="300">
        <f t="shared" si="4"/>
        <v>0</v>
      </c>
      <c r="G93" s="301">
        <v>0</v>
      </c>
      <c r="H93" s="129">
        <v>0</v>
      </c>
      <c r="I93" s="129">
        <v>0</v>
      </c>
      <c r="J93" s="300">
        <f t="shared" si="5"/>
        <v>0</v>
      </c>
      <c r="K93" s="301"/>
      <c r="L93" s="129"/>
      <c r="M93" s="129"/>
      <c r="N93" s="300">
        <f t="shared" si="6"/>
        <v>0</v>
      </c>
      <c r="O93" s="301"/>
      <c r="P93" s="129"/>
      <c r="Q93" s="129"/>
      <c r="R93" s="300">
        <f t="shared" si="7"/>
        <v>0</v>
      </c>
    </row>
    <row r="94" spans="1:18" x14ac:dyDescent="0.25">
      <c r="A94" s="111">
        <v>92</v>
      </c>
      <c r="B94" s="110" t="s">
        <v>132</v>
      </c>
      <c r="C94" s="301">
        <v>0</v>
      </c>
      <c r="D94" s="129">
        <v>0</v>
      </c>
      <c r="E94" s="129">
        <v>0</v>
      </c>
      <c r="F94" s="300">
        <f t="shared" si="4"/>
        <v>0</v>
      </c>
      <c r="G94" s="301">
        <v>0</v>
      </c>
      <c r="H94" s="129">
        <v>0</v>
      </c>
      <c r="I94" s="129">
        <v>0</v>
      </c>
      <c r="J94" s="300">
        <f t="shared" si="5"/>
        <v>0</v>
      </c>
      <c r="K94" s="301"/>
      <c r="L94" s="129"/>
      <c r="M94" s="129"/>
      <c r="N94" s="300">
        <f t="shared" si="6"/>
        <v>0</v>
      </c>
      <c r="O94" s="301"/>
      <c r="P94" s="129"/>
      <c r="Q94" s="129"/>
      <c r="R94" s="300">
        <f t="shared" si="7"/>
        <v>0</v>
      </c>
    </row>
    <row r="95" spans="1:18" x14ac:dyDescent="0.25">
      <c r="A95" s="111">
        <v>93</v>
      </c>
      <c r="B95" s="110" t="s">
        <v>131</v>
      </c>
      <c r="C95" s="301">
        <v>0</v>
      </c>
      <c r="D95" s="129">
        <v>0</v>
      </c>
      <c r="E95" s="129">
        <v>0</v>
      </c>
      <c r="F95" s="300">
        <f t="shared" si="4"/>
        <v>0</v>
      </c>
      <c r="G95" s="301">
        <v>0</v>
      </c>
      <c r="H95" s="129">
        <v>0</v>
      </c>
      <c r="I95" s="129">
        <v>0</v>
      </c>
      <c r="J95" s="300">
        <f t="shared" si="5"/>
        <v>0</v>
      </c>
      <c r="K95" s="301"/>
      <c r="L95" s="129"/>
      <c r="M95" s="129"/>
      <c r="N95" s="300">
        <f t="shared" si="6"/>
        <v>0</v>
      </c>
      <c r="O95" s="301"/>
      <c r="P95" s="129"/>
      <c r="Q95" s="129"/>
      <c r="R95" s="300">
        <f t="shared" si="7"/>
        <v>0</v>
      </c>
    </row>
    <row r="96" spans="1:18" x14ac:dyDescent="0.25">
      <c r="A96" s="111">
        <v>94</v>
      </c>
      <c r="B96" s="110" t="s">
        <v>130</v>
      </c>
      <c r="C96" s="301">
        <v>0</v>
      </c>
      <c r="D96" s="129">
        <v>0</v>
      </c>
      <c r="E96" s="129">
        <v>0</v>
      </c>
      <c r="F96" s="300">
        <f t="shared" si="4"/>
        <v>0</v>
      </c>
      <c r="G96" s="301">
        <v>0</v>
      </c>
      <c r="H96" s="129">
        <v>0</v>
      </c>
      <c r="I96" s="129">
        <v>0</v>
      </c>
      <c r="J96" s="300">
        <f t="shared" si="5"/>
        <v>0</v>
      </c>
      <c r="K96" s="301"/>
      <c r="L96" s="129"/>
      <c r="M96" s="129"/>
      <c r="N96" s="300">
        <f t="shared" si="6"/>
        <v>0</v>
      </c>
      <c r="O96" s="301"/>
      <c r="P96" s="129"/>
      <c r="Q96" s="129"/>
      <c r="R96" s="300">
        <f t="shared" si="7"/>
        <v>0</v>
      </c>
    </row>
    <row r="97" spans="1:18" x14ac:dyDescent="0.25">
      <c r="A97" s="111">
        <v>95</v>
      </c>
      <c r="B97" s="110" t="s">
        <v>129</v>
      </c>
      <c r="C97" s="301">
        <v>0</v>
      </c>
      <c r="D97" s="129">
        <v>0</v>
      </c>
      <c r="E97" s="129">
        <v>0</v>
      </c>
      <c r="F97" s="300">
        <f t="shared" si="4"/>
        <v>0</v>
      </c>
      <c r="G97" s="301">
        <v>0</v>
      </c>
      <c r="H97" s="129">
        <v>0</v>
      </c>
      <c r="I97" s="129">
        <v>0</v>
      </c>
      <c r="J97" s="300">
        <f t="shared" si="5"/>
        <v>0</v>
      </c>
      <c r="K97" s="301"/>
      <c r="L97" s="129"/>
      <c r="M97" s="129"/>
      <c r="N97" s="300">
        <f t="shared" si="6"/>
        <v>0</v>
      </c>
      <c r="O97" s="301"/>
      <c r="P97" s="129"/>
      <c r="Q97" s="129"/>
      <c r="R97" s="300">
        <f t="shared" si="7"/>
        <v>0</v>
      </c>
    </row>
    <row r="98" spans="1:18" x14ac:dyDescent="0.25">
      <c r="A98" s="111">
        <v>96</v>
      </c>
      <c r="B98" s="110" t="s">
        <v>128</v>
      </c>
      <c r="C98" s="301">
        <v>0</v>
      </c>
      <c r="D98" s="129">
        <v>383828.92</v>
      </c>
      <c r="E98" s="129">
        <v>0</v>
      </c>
      <c r="F98" s="300">
        <f t="shared" si="4"/>
        <v>383828.92</v>
      </c>
      <c r="G98" s="301">
        <v>1819999.98</v>
      </c>
      <c r="H98" s="129">
        <v>166380.6</v>
      </c>
      <c r="I98" s="129">
        <v>0</v>
      </c>
      <c r="J98" s="300">
        <f t="shared" si="5"/>
        <v>1986380.58</v>
      </c>
      <c r="K98" s="301"/>
      <c r="L98" s="129"/>
      <c r="M98" s="129"/>
      <c r="N98" s="300">
        <f t="shared" si="6"/>
        <v>0</v>
      </c>
      <c r="O98" s="301"/>
      <c r="P98" s="129"/>
      <c r="Q98" s="129"/>
      <c r="R98" s="300">
        <f t="shared" si="7"/>
        <v>0</v>
      </c>
    </row>
    <row r="99" spans="1:18" x14ac:dyDescent="0.25">
      <c r="A99" s="111">
        <v>97</v>
      </c>
      <c r="B99" s="110" t="s">
        <v>127</v>
      </c>
      <c r="C99" s="301">
        <v>0</v>
      </c>
      <c r="D99" s="129">
        <v>0</v>
      </c>
      <c r="E99" s="129">
        <v>0</v>
      </c>
      <c r="F99" s="300">
        <f t="shared" si="4"/>
        <v>0</v>
      </c>
      <c r="G99" s="301">
        <v>0</v>
      </c>
      <c r="H99" s="129">
        <v>0</v>
      </c>
      <c r="I99" s="129">
        <v>0</v>
      </c>
      <c r="J99" s="300">
        <f t="shared" si="5"/>
        <v>0</v>
      </c>
      <c r="K99" s="301"/>
      <c r="L99" s="129"/>
      <c r="M99" s="129"/>
      <c r="N99" s="300">
        <f t="shared" si="6"/>
        <v>0</v>
      </c>
      <c r="O99" s="301"/>
      <c r="P99" s="129"/>
      <c r="Q99" s="129"/>
      <c r="R99" s="300">
        <f t="shared" si="7"/>
        <v>0</v>
      </c>
    </row>
    <row r="100" spans="1:18" x14ac:dyDescent="0.25">
      <c r="A100" s="111">
        <v>98</v>
      </c>
      <c r="B100" s="110" t="s">
        <v>126</v>
      </c>
      <c r="C100" s="301">
        <v>0</v>
      </c>
      <c r="D100" s="129">
        <v>0</v>
      </c>
      <c r="E100" s="129">
        <v>0</v>
      </c>
      <c r="F100" s="300">
        <f t="shared" si="4"/>
        <v>0</v>
      </c>
      <c r="G100" s="301">
        <v>0</v>
      </c>
      <c r="H100" s="129">
        <v>0</v>
      </c>
      <c r="I100" s="129">
        <v>0</v>
      </c>
      <c r="J100" s="300">
        <f t="shared" si="5"/>
        <v>0</v>
      </c>
      <c r="K100" s="301"/>
      <c r="L100" s="129"/>
      <c r="M100" s="129"/>
      <c r="N100" s="300">
        <f t="shared" si="6"/>
        <v>0</v>
      </c>
      <c r="O100" s="301"/>
      <c r="P100" s="129"/>
      <c r="Q100" s="129"/>
      <c r="R100" s="300">
        <f t="shared" si="7"/>
        <v>0</v>
      </c>
    </row>
    <row r="101" spans="1:18" x14ac:dyDescent="0.25">
      <c r="A101" s="111">
        <v>99</v>
      </c>
      <c r="B101" s="110" t="s">
        <v>125</v>
      </c>
      <c r="C101" s="301">
        <v>0</v>
      </c>
      <c r="D101" s="129">
        <v>274964.09999999998</v>
      </c>
      <c r="E101" s="129">
        <v>0</v>
      </c>
      <c r="F101" s="300">
        <f t="shared" si="4"/>
        <v>274964.09999999998</v>
      </c>
      <c r="G101" s="301">
        <v>0</v>
      </c>
      <c r="H101" s="129">
        <v>21529.7</v>
      </c>
      <c r="I101" s="129">
        <v>0</v>
      </c>
      <c r="J101" s="300">
        <f t="shared" si="5"/>
        <v>21529.7</v>
      </c>
      <c r="K101" s="301"/>
      <c r="L101" s="129"/>
      <c r="M101" s="129"/>
      <c r="N101" s="300">
        <f t="shared" si="6"/>
        <v>0</v>
      </c>
      <c r="O101" s="301"/>
      <c r="P101" s="129"/>
      <c r="Q101" s="129"/>
      <c r="R101" s="300">
        <f t="shared" si="7"/>
        <v>0</v>
      </c>
    </row>
    <row r="102" spans="1:18" x14ac:dyDescent="0.25">
      <c r="A102" s="107"/>
      <c r="B102" s="304"/>
      <c r="C102" s="353">
        <f t="shared" ref="C102:J102" si="8">SUM(C3:C101)</f>
        <v>15971191.9</v>
      </c>
      <c r="D102" s="352">
        <f t="shared" si="8"/>
        <v>9217570.4100000001</v>
      </c>
      <c r="E102" s="352">
        <f t="shared" si="8"/>
        <v>0</v>
      </c>
      <c r="F102" s="354">
        <f t="shared" si="8"/>
        <v>25188762.309999999</v>
      </c>
      <c r="G102" s="353">
        <f t="shared" si="8"/>
        <v>14333847.09</v>
      </c>
      <c r="H102" s="352">
        <f t="shared" si="8"/>
        <v>6896926.9099999992</v>
      </c>
      <c r="I102" s="352">
        <f t="shared" si="8"/>
        <v>0</v>
      </c>
      <c r="J102" s="354">
        <f t="shared" si="8"/>
        <v>21230773.999999996</v>
      </c>
      <c r="K102" s="310">
        <f t="shared" ref="K102:N102" si="9">SUM(K3:K101)</f>
        <v>0</v>
      </c>
      <c r="L102" s="311">
        <f t="shared" si="9"/>
        <v>0</v>
      </c>
      <c r="M102" s="311">
        <f t="shared" si="9"/>
        <v>0</v>
      </c>
      <c r="N102" s="312">
        <f t="shared" si="9"/>
        <v>0</v>
      </c>
      <c r="O102" s="310">
        <f>SUM(O3:O101)</f>
        <v>0</v>
      </c>
      <c r="P102" s="311">
        <f t="shared" ref="P102:R102" si="10">SUM(P3:P101)</f>
        <v>0</v>
      </c>
      <c r="Q102" s="311">
        <f t="shared" si="10"/>
        <v>0</v>
      </c>
      <c r="R102" s="312">
        <f t="shared" si="10"/>
        <v>0</v>
      </c>
    </row>
    <row r="103" spans="1:18" x14ac:dyDescent="0.25">
      <c r="A103" s="107">
        <v>0</v>
      </c>
      <c r="B103" s="237" t="s">
        <v>256</v>
      </c>
      <c r="C103" s="301">
        <v>0</v>
      </c>
      <c r="D103" s="129">
        <v>0</v>
      </c>
      <c r="E103" s="129">
        <v>0</v>
      </c>
      <c r="F103" s="300">
        <f>C103+D103+E103</f>
        <v>0</v>
      </c>
      <c r="G103" s="301">
        <v>0</v>
      </c>
      <c r="H103" s="129">
        <v>0</v>
      </c>
      <c r="I103" s="129">
        <v>0</v>
      </c>
      <c r="J103" s="300">
        <f>G103+H103+I103</f>
        <v>0</v>
      </c>
      <c r="K103" s="301"/>
      <c r="L103" s="129"/>
      <c r="M103" s="129"/>
      <c r="N103" s="300">
        <f>K103+L103+M103</f>
        <v>0</v>
      </c>
      <c r="O103" s="301"/>
      <c r="P103" s="129"/>
      <c r="Q103" s="129"/>
      <c r="R103" s="300">
        <f>O103+P103+Q103</f>
        <v>0</v>
      </c>
    </row>
    <row r="104" spans="1:18" x14ac:dyDescent="0.25">
      <c r="A104" s="107"/>
      <c r="B104" s="235" t="s">
        <v>258</v>
      </c>
      <c r="C104" s="301">
        <v>15971191.9</v>
      </c>
      <c r="D104" s="129">
        <v>9217570.4100000001</v>
      </c>
      <c r="E104" s="129">
        <v>0</v>
      </c>
      <c r="F104" s="300">
        <f>C104+D104+E104</f>
        <v>25188762.310000002</v>
      </c>
      <c r="G104" s="301">
        <v>14333847.09</v>
      </c>
      <c r="H104" s="129">
        <v>6896926.9100000001</v>
      </c>
      <c r="I104" s="129">
        <v>0</v>
      </c>
      <c r="J104" s="297">
        <f>G104+H104+I104</f>
        <v>21230774</v>
      </c>
      <c r="K104" s="293"/>
      <c r="L104" s="289"/>
      <c r="M104" s="289"/>
      <c r="N104" s="297">
        <f>K104+L104+M104</f>
        <v>0</v>
      </c>
      <c r="O104" s="293"/>
      <c r="P104" s="289"/>
      <c r="Q104" s="289"/>
      <c r="R104" s="297">
        <f>O104+P104+Q104</f>
        <v>0</v>
      </c>
    </row>
    <row r="105" spans="1:18" x14ac:dyDescent="0.25">
      <c r="B105" s="235" t="s">
        <v>259</v>
      </c>
      <c r="C105" s="368">
        <f>C102+C103-C104</f>
        <v>0</v>
      </c>
      <c r="D105" s="369">
        <f t="shared" ref="D105:E105" si="11">D102+D103-D104</f>
        <v>0</v>
      </c>
      <c r="E105" s="369">
        <f t="shared" si="11"/>
        <v>0</v>
      </c>
      <c r="F105" s="370">
        <f>F102-F104</f>
        <v>0</v>
      </c>
      <c r="G105" s="368">
        <f>G102+G103-G104</f>
        <v>0</v>
      </c>
      <c r="H105" s="369">
        <f t="shared" ref="H105:I105" si="12">H102+H103-H104</f>
        <v>0</v>
      </c>
      <c r="I105" s="369">
        <f t="shared" si="12"/>
        <v>0</v>
      </c>
      <c r="J105" s="370">
        <f>J102-J104</f>
        <v>0</v>
      </c>
      <c r="K105" s="313">
        <f t="shared" ref="K105:Q105" si="13">K102-K104</f>
        <v>0</v>
      </c>
      <c r="L105" s="240">
        <f t="shared" si="13"/>
        <v>0</v>
      </c>
      <c r="M105" s="240">
        <f t="shared" si="13"/>
        <v>0</v>
      </c>
      <c r="N105" s="370">
        <f>N102-N104</f>
        <v>0</v>
      </c>
      <c r="O105" s="313">
        <f t="shared" si="13"/>
        <v>0</v>
      </c>
      <c r="P105" s="240">
        <f t="shared" si="13"/>
        <v>0</v>
      </c>
      <c r="Q105" s="240">
        <f t="shared" si="13"/>
        <v>0</v>
      </c>
      <c r="R105" s="343">
        <f>R102-R104</f>
        <v>0</v>
      </c>
    </row>
    <row r="106" spans="1:18" x14ac:dyDescent="0.25">
      <c r="O106" s="301"/>
      <c r="P106" s="129"/>
      <c r="Q106" s="129"/>
      <c r="R106" s="300"/>
    </row>
    <row r="107" spans="1:18" x14ac:dyDescent="0.25">
      <c r="B107" s="235" t="s">
        <v>270</v>
      </c>
      <c r="D107" s="129"/>
      <c r="E107" s="129"/>
      <c r="F107" s="300">
        <f>F102</f>
        <v>25188762.309999999</v>
      </c>
      <c r="G107" s="301"/>
      <c r="H107" s="129"/>
      <c r="I107" s="129"/>
      <c r="J107" s="300">
        <f>F107+J102</f>
        <v>46419536.309999995</v>
      </c>
      <c r="N107" s="300">
        <f>J107+N102</f>
        <v>46419536.309999995</v>
      </c>
      <c r="O107" s="301"/>
      <c r="P107" s="129"/>
      <c r="Q107" s="129"/>
      <c r="R107" s="300">
        <f>N107+R102</f>
        <v>46419536.309999995</v>
      </c>
    </row>
    <row r="108" spans="1:18" x14ac:dyDescent="0.25">
      <c r="D108" s="344"/>
      <c r="E108" s="344"/>
      <c r="F108" s="344" t="s">
        <v>284</v>
      </c>
      <c r="G108" s="344"/>
      <c r="H108" s="344"/>
      <c r="I108" s="344"/>
      <c r="J108" s="374" t="s">
        <v>284</v>
      </c>
      <c r="N108" s="344" t="s">
        <v>284</v>
      </c>
      <c r="O108" s="301"/>
      <c r="P108" s="129"/>
      <c r="Q108" s="129"/>
      <c r="R108" s="344" t="s">
        <v>284</v>
      </c>
    </row>
  </sheetData>
  <mergeCells count="4">
    <mergeCell ref="K1:N1"/>
    <mergeCell ref="O1:R1"/>
    <mergeCell ref="C1:F1"/>
    <mergeCell ref="G1:J1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659A6-FE9A-4191-B029-A22A769DE876}">
  <dimension ref="A1:L111"/>
  <sheetViews>
    <sheetView topLeftCell="A83" workbookViewId="0">
      <selection activeCell="D109" sqref="D109"/>
    </sheetView>
  </sheetViews>
  <sheetFormatPr defaultRowHeight="15" x14ac:dyDescent="0.25"/>
  <cols>
    <col min="1" max="1" width="8.7109375" style="138"/>
    <col min="2" max="2" width="16.85546875" bestFit="1" customWidth="1"/>
    <col min="3" max="3" width="23.85546875" style="137" customWidth="1"/>
    <col min="4" max="4" width="18.85546875" style="137" customWidth="1"/>
    <col min="5" max="5" width="15.140625" style="137" customWidth="1"/>
    <col min="6" max="6" width="20" style="137" customWidth="1"/>
  </cols>
  <sheetData>
    <row r="1" spans="1:12" x14ac:dyDescent="0.25">
      <c r="C1" s="137" t="s">
        <v>229</v>
      </c>
      <c r="D1" s="137" t="s">
        <v>228</v>
      </c>
      <c r="E1" s="137" t="s">
        <v>227</v>
      </c>
      <c r="F1" s="137" t="s">
        <v>226</v>
      </c>
    </row>
    <row r="2" spans="1:12" ht="25.5" x14ac:dyDescent="0.25">
      <c r="A2" s="142" t="s">
        <v>225</v>
      </c>
      <c r="B2" s="113" t="s">
        <v>224</v>
      </c>
    </row>
    <row r="3" spans="1:12" x14ac:dyDescent="0.25">
      <c r="A3" s="141">
        <v>1</v>
      </c>
      <c r="B3" s="110" t="s">
        <v>223</v>
      </c>
      <c r="C3" s="384">
        <v>0</v>
      </c>
      <c r="D3" s="51">
        <v>0</v>
      </c>
      <c r="E3" s="51"/>
      <c r="F3" s="51"/>
      <c r="L3" s="138"/>
    </row>
    <row r="4" spans="1:12" x14ac:dyDescent="0.25">
      <c r="A4" s="140">
        <v>2</v>
      </c>
      <c r="B4" s="110" t="s">
        <v>222</v>
      </c>
      <c r="C4" s="384">
        <v>0</v>
      </c>
      <c r="D4" s="51">
        <v>0</v>
      </c>
      <c r="E4" s="51"/>
      <c r="F4" s="51"/>
    </row>
    <row r="5" spans="1:12" x14ac:dyDescent="0.25">
      <c r="A5" s="140">
        <v>3</v>
      </c>
      <c r="B5" s="110" t="s">
        <v>221</v>
      </c>
      <c r="C5" s="384">
        <v>0</v>
      </c>
      <c r="D5" s="51">
        <v>0</v>
      </c>
      <c r="E5" s="51"/>
      <c r="F5" s="51"/>
    </row>
    <row r="6" spans="1:12" x14ac:dyDescent="0.25">
      <c r="A6" s="141">
        <v>4</v>
      </c>
      <c r="B6" s="110" t="s">
        <v>220</v>
      </c>
      <c r="C6" s="384">
        <v>0</v>
      </c>
      <c r="D6" s="51">
        <v>0</v>
      </c>
      <c r="E6" s="51"/>
      <c r="F6" s="51"/>
    </row>
    <row r="7" spans="1:12" x14ac:dyDescent="0.25">
      <c r="A7" s="140">
        <v>5</v>
      </c>
      <c r="B7" s="110" t="s">
        <v>219</v>
      </c>
      <c r="C7" s="384">
        <v>0</v>
      </c>
      <c r="D7" s="51">
        <v>0</v>
      </c>
      <c r="E7" s="51"/>
      <c r="F7" s="51"/>
    </row>
    <row r="8" spans="1:12" x14ac:dyDescent="0.25">
      <c r="A8" s="140">
        <v>6</v>
      </c>
      <c r="B8" s="110" t="s">
        <v>218</v>
      </c>
      <c r="C8" s="384">
        <v>0</v>
      </c>
      <c r="D8" s="51">
        <v>0</v>
      </c>
      <c r="E8" s="51"/>
      <c r="F8" s="51"/>
    </row>
    <row r="9" spans="1:12" x14ac:dyDescent="0.25">
      <c r="A9" s="141">
        <v>7</v>
      </c>
      <c r="B9" s="110" t="s">
        <v>217</v>
      </c>
      <c r="C9" s="384">
        <v>0</v>
      </c>
      <c r="D9" s="51">
        <v>0</v>
      </c>
      <c r="E9" s="51"/>
      <c r="F9" s="51"/>
    </row>
    <row r="10" spans="1:12" x14ac:dyDescent="0.25">
      <c r="A10" s="140">
        <v>8</v>
      </c>
      <c r="B10" s="110" t="s">
        <v>216</v>
      </c>
      <c r="C10" s="384">
        <v>0</v>
      </c>
      <c r="D10" s="51">
        <v>0</v>
      </c>
      <c r="E10" s="51"/>
      <c r="F10" s="51"/>
    </row>
    <row r="11" spans="1:12" x14ac:dyDescent="0.25">
      <c r="A11" s="140">
        <v>9</v>
      </c>
      <c r="B11" s="110" t="s">
        <v>215</v>
      </c>
      <c r="C11" s="384">
        <v>0</v>
      </c>
      <c r="D11" s="51">
        <v>0</v>
      </c>
      <c r="E11" s="51"/>
      <c r="F11" s="51"/>
    </row>
    <row r="12" spans="1:12" x14ac:dyDescent="0.25">
      <c r="A12" s="141">
        <v>10</v>
      </c>
      <c r="B12" s="110" t="s">
        <v>214</v>
      </c>
      <c r="C12" s="384">
        <v>0</v>
      </c>
      <c r="D12" s="51">
        <v>0</v>
      </c>
      <c r="E12" s="51"/>
      <c r="F12" s="51"/>
    </row>
    <row r="13" spans="1:12" x14ac:dyDescent="0.25">
      <c r="A13" s="140">
        <v>11</v>
      </c>
      <c r="B13" s="110" t="s">
        <v>213</v>
      </c>
      <c r="C13" s="384">
        <v>0</v>
      </c>
      <c r="D13" s="51">
        <v>0</v>
      </c>
      <c r="E13" s="51"/>
      <c r="F13" s="51"/>
    </row>
    <row r="14" spans="1:12" x14ac:dyDescent="0.25">
      <c r="A14" s="140">
        <v>12</v>
      </c>
      <c r="B14" s="110" t="s">
        <v>212</v>
      </c>
      <c r="C14" s="384">
        <v>0</v>
      </c>
      <c r="D14" s="51">
        <v>0</v>
      </c>
      <c r="E14" s="51"/>
      <c r="F14" s="51"/>
    </row>
    <row r="15" spans="1:12" x14ac:dyDescent="0.25">
      <c r="A15" s="141">
        <v>13</v>
      </c>
      <c r="B15" s="110" t="s">
        <v>211</v>
      </c>
      <c r="C15" s="384">
        <v>0</v>
      </c>
      <c r="D15" s="51">
        <v>0</v>
      </c>
      <c r="E15" s="51"/>
      <c r="F15" s="51"/>
    </row>
    <row r="16" spans="1:12" x14ac:dyDescent="0.25">
      <c r="A16" s="140">
        <v>14</v>
      </c>
      <c r="B16" s="110" t="s">
        <v>210</v>
      </c>
      <c r="C16" s="384">
        <v>0</v>
      </c>
      <c r="D16" s="51">
        <v>0</v>
      </c>
      <c r="E16" s="51"/>
      <c r="F16" s="51"/>
    </row>
    <row r="17" spans="1:6" x14ac:dyDescent="0.25">
      <c r="A17" s="140">
        <v>15</v>
      </c>
      <c r="B17" s="110" t="s">
        <v>209</v>
      </c>
      <c r="C17" s="384">
        <v>0</v>
      </c>
      <c r="D17" s="51">
        <v>0</v>
      </c>
      <c r="E17" s="51"/>
      <c r="F17" s="51"/>
    </row>
    <row r="18" spans="1:6" x14ac:dyDescent="0.25">
      <c r="A18" s="141">
        <v>16</v>
      </c>
      <c r="B18" s="110" t="s">
        <v>208</v>
      </c>
      <c r="C18" s="384">
        <v>0</v>
      </c>
      <c r="D18" s="51">
        <v>0</v>
      </c>
      <c r="E18" s="51"/>
      <c r="F18" s="51"/>
    </row>
    <row r="19" spans="1:6" x14ac:dyDescent="0.25">
      <c r="A19" s="140">
        <v>17</v>
      </c>
      <c r="B19" s="110" t="s">
        <v>207</v>
      </c>
      <c r="C19" s="384">
        <v>0</v>
      </c>
      <c r="D19" s="51">
        <v>0</v>
      </c>
      <c r="E19" s="51"/>
      <c r="F19" s="51"/>
    </row>
    <row r="20" spans="1:6" x14ac:dyDescent="0.25">
      <c r="A20" s="141">
        <v>18</v>
      </c>
      <c r="B20" s="110" t="s">
        <v>206</v>
      </c>
      <c r="C20" s="384">
        <v>0</v>
      </c>
      <c r="D20" s="51">
        <v>0</v>
      </c>
      <c r="E20" s="51"/>
      <c r="F20" s="51"/>
    </row>
    <row r="21" spans="1:6" x14ac:dyDescent="0.25">
      <c r="A21" s="140">
        <v>19</v>
      </c>
      <c r="B21" s="110" t="s">
        <v>205</v>
      </c>
      <c r="C21" s="384">
        <v>0</v>
      </c>
      <c r="D21" s="51">
        <v>0</v>
      </c>
      <c r="E21" s="51"/>
      <c r="F21" s="51"/>
    </row>
    <row r="22" spans="1:6" x14ac:dyDescent="0.25">
      <c r="A22" s="140">
        <v>20</v>
      </c>
      <c r="B22" s="110" t="s">
        <v>204</v>
      </c>
      <c r="C22" s="384">
        <v>0</v>
      </c>
      <c r="D22" s="51">
        <v>0</v>
      </c>
      <c r="E22" s="51"/>
      <c r="F22" s="51"/>
    </row>
    <row r="23" spans="1:6" x14ac:dyDescent="0.25">
      <c r="A23" s="141">
        <v>21</v>
      </c>
      <c r="B23" s="110" t="s">
        <v>203</v>
      </c>
      <c r="C23" s="384">
        <v>7681992.3099999996</v>
      </c>
      <c r="D23" s="51">
        <v>0</v>
      </c>
      <c r="E23" s="51"/>
      <c r="F23" s="51"/>
    </row>
    <row r="24" spans="1:6" x14ac:dyDescent="0.25">
      <c r="A24" s="140">
        <v>22</v>
      </c>
      <c r="B24" s="110" t="s">
        <v>202</v>
      </c>
      <c r="C24" s="384">
        <v>0</v>
      </c>
      <c r="D24" s="51">
        <v>0</v>
      </c>
      <c r="E24" s="51"/>
      <c r="F24" s="51"/>
    </row>
    <row r="25" spans="1:6" x14ac:dyDescent="0.25">
      <c r="A25" s="140">
        <v>23</v>
      </c>
      <c r="B25" s="110" t="s">
        <v>201</v>
      </c>
      <c r="C25" s="384">
        <v>0</v>
      </c>
      <c r="D25" s="51">
        <v>0</v>
      </c>
      <c r="E25" s="51"/>
      <c r="F25" s="51"/>
    </row>
    <row r="26" spans="1:6" x14ac:dyDescent="0.25">
      <c r="A26" s="141">
        <v>24</v>
      </c>
      <c r="B26" s="110" t="s">
        <v>200</v>
      </c>
      <c r="C26" s="384">
        <v>0</v>
      </c>
      <c r="D26" s="51">
        <v>0</v>
      </c>
      <c r="E26" s="51"/>
      <c r="F26" s="51"/>
    </row>
    <row r="27" spans="1:6" x14ac:dyDescent="0.25">
      <c r="A27" s="140">
        <v>25</v>
      </c>
      <c r="B27" s="110" t="s">
        <v>199</v>
      </c>
      <c r="C27" s="384">
        <v>60000</v>
      </c>
      <c r="D27" s="51">
        <v>0</v>
      </c>
      <c r="E27" s="51"/>
      <c r="F27" s="51"/>
    </row>
    <row r="28" spans="1:6" x14ac:dyDescent="0.25">
      <c r="A28" s="140">
        <v>26</v>
      </c>
      <c r="B28" s="110" t="s">
        <v>198</v>
      </c>
      <c r="C28" s="384">
        <v>0</v>
      </c>
      <c r="D28" s="51">
        <v>0</v>
      </c>
      <c r="E28" s="51"/>
      <c r="F28" s="51"/>
    </row>
    <row r="29" spans="1:6" x14ac:dyDescent="0.25">
      <c r="A29" s="141">
        <v>27</v>
      </c>
      <c r="B29" s="110" t="s">
        <v>197</v>
      </c>
      <c r="C29" s="384">
        <v>0</v>
      </c>
      <c r="D29" s="51">
        <v>0</v>
      </c>
      <c r="E29" s="51"/>
      <c r="F29" s="51"/>
    </row>
    <row r="30" spans="1:6" x14ac:dyDescent="0.25">
      <c r="A30" s="140">
        <v>28</v>
      </c>
      <c r="B30" s="110" t="s">
        <v>196</v>
      </c>
      <c r="C30" s="384">
        <v>0</v>
      </c>
      <c r="D30" s="51">
        <v>0</v>
      </c>
      <c r="E30" s="51"/>
      <c r="F30" s="51"/>
    </row>
    <row r="31" spans="1:6" x14ac:dyDescent="0.25">
      <c r="A31" s="140">
        <v>29</v>
      </c>
      <c r="B31" s="110" t="s">
        <v>195</v>
      </c>
      <c r="C31" s="384">
        <v>0</v>
      </c>
      <c r="D31" s="51">
        <v>0</v>
      </c>
      <c r="E31" s="51"/>
      <c r="F31" s="51"/>
    </row>
    <row r="32" spans="1:6" x14ac:dyDescent="0.25">
      <c r="A32" s="141">
        <v>30</v>
      </c>
      <c r="B32" s="110" t="s">
        <v>194</v>
      </c>
      <c r="C32" s="384">
        <v>0</v>
      </c>
      <c r="D32" s="51">
        <v>0</v>
      </c>
      <c r="E32" s="51"/>
      <c r="F32" s="51"/>
    </row>
    <row r="33" spans="1:6" x14ac:dyDescent="0.25">
      <c r="A33" s="140">
        <v>31</v>
      </c>
      <c r="B33" s="110" t="s">
        <v>193</v>
      </c>
      <c r="C33" s="384">
        <v>0</v>
      </c>
      <c r="D33" s="51">
        <v>0</v>
      </c>
      <c r="E33" s="51"/>
      <c r="F33" s="51"/>
    </row>
    <row r="34" spans="1:6" x14ac:dyDescent="0.25">
      <c r="A34" s="140">
        <v>32</v>
      </c>
      <c r="B34" s="110" t="s">
        <v>192</v>
      </c>
      <c r="C34" s="384">
        <v>0</v>
      </c>
      <c r="D34" s="51">
        <v>0</v>
      </c>
      <c r="E34" s="51"/>
      <c r="F34" s="51"/>
    </row>
    <row r="35" spans="1:6" x14ac:dyDescent="0.25">
      <c r="A35" s="141">
        <v>33</v>
      </c>
      <c r="B35" s="110" t="s">
        <v>191</v>
      </c>
      <c r="C35" s="384">
        <v>0</v>
      </c>
      <c r="D35" s="51">
        <v>3567434.96</v>
      </c>
      <c r="E35" s="51"/>
      <c r="F35" s="51"/>
    </row>
    <row r="36" spans="1:6" x14ac:dyDescent="0.25">
      <c r="A36" s="140">
        <v>34</v>
      </c>
      <c r="B36" s="110" t="s">
        <v>190</v>
      </c>
      <c r="C36" s="384">
        <v>0</v>
      </c>
      <c r="D36" s="51">
        <v>0</v>
      </c>
      <c r="E36" s="51"/>
      <c r="F36" s="51"/>
    </row>
    <row r="37" spans="1:6" x14ac:dyDescent="0.25">
      <c r="A37" s="141">
        <v>35</v>
      </c>
      <c r="B37" s="110" t="s">
        <v>189</v>
      </c>
      <c r="C37" s="384">
        <v>0</v>
      </c>
      <c r="D37" s="51">
        <v>0</v>
      </c>
      <c r="E37" s="51"/>
      <c r="F37" s="51"/>
    </row>
    <row r="38" spans="1:6" x14ac:dyDescent="0.25">
      <c r="A38" s="140">
        <v>36</v>
      </c>
      <c r="B38" s="110" t="s">
        <v>188</v>
      </c>
      <c r="C38" s="384">
        <v>0</v>
      </c>
      <c r="D38" s="51">
        <v>0</v>
      </c>
      <c r="E38" s="51"/>
      <c r="F38" s="51"/>
    </row>
    <row r="39" spans="1:6" x14ac:dyDescent="0.25">
      <c r="A39" s="140">
        <v>37</v>
      </c>
      <c r="B39" s="110" t="s">
        <v>187</v>
      </c>
      <c r="C39" s="384">
        <v>0</v>
      </c>
      <c r="D39" s="51">
        <v>0</v>
      </c>
      <c r="E39" s="51"/>
      <c r="F39" s="51"/>
    </row>
    <row r="40" spans="1:6" x14ac:dyDescent="0.25">
      <c r="A40" s="141">
        <v>38</v>
      </c>
      <c r="B40" s="110" t="s">
        <v>186</v>
      </c>
      <c r="C40" s="384">
        <v>0</v>
      </c>
      <c r="D40" s="51">
        <v>0</v>
      </c>
      <c r="E40" s="51"/>
      <c r="F40" s="51"/>
    </row>
    <row r="41" spans="1:6" x14ac:dyDescent="0.25">
      <c r="A41" s="140">
        <v>39</v>
      </c>
      <c r="B41" s="110" t="s">
        <v>185</v>
      </c>
      <c r="C41" s="384">
        <v>0</v>
      </c>
      <c r="D41" s="51">
        <v>0</v>
      </c>
      <c r="E41" s="51"/>
      <c r="F41" s="51"/>
    </row>
    <row r="42" spans="1:6" x14ac:dyDescent="0.25">
      <c r="A42" s="140">
        <v>40</v>
      </c>
      <c r="B42" s="110" t="s">
        <v>184</v>
      </c>
      <c r="C42" s="384">
        <v>0</v>
      </c>
      <c r="D42" s="51">
        <v>0</v>
      </c>
      <c r="E42" s="51"/>
      <c r="F42" s="51"/>
    </row>
    <row r="43" spans="1:6" x14ac:dyDescent="0.25">
      <c r="A43" s="141">
        <v>41</v>
      </c>
      <c r="B43" s="110" t="s">
        <v>183</v>
      </c>
      <c r="C43" s="384">
        <v>0</v>
      </c>
      <c r="D43" s="51">
        <v>0</v>
      </c>
      <c r="E43" s="51"/>
      <c r="F43" s="51"/>
    </row>
    <row r="44" spans="1:6" x14ac:dyDescent="0.25">
      <c r="A44" s="140">
        <v>42</v>
      </c>
      <c r="B44" s="110" t="s">
        <v>182</v>
      </c>
      <c r="C44" s="384">
        <v>0</v>
      </c>
      <c r="D44" s="51">
        <v>0</v>
      </c>
      <c r="E44" s="51"/>
      <c r="F44" s="51"/>
    </row>
    <row r="45" spans="1:6" x14ac:dyDescent="0.25">
      <c r="A45" s="140">
        <v>43</v>
      </c>
      <c r="B45" s="110" t="s">
        <v>181</v>
      </c>
      <c r="C45" s="384">
        <v>0</v>
      </c>
      <c r="D45" s="51">
        <v>0</v>
      </c>
      <c r="E45" s="51"/>
      <c r="F45" s="51"/>
    </row>
    <row r="46" spans="1:6" x14ac:dyDescent="0.25">
      <c r="A46" s="141">
        <v>44</v>
      </c>
      <c r="B46" s="110" t="s">
        <v>180</v>
      </c>
      <c r="C46" s="384">
        <v>0</v>
      </c>
      <c r="D46" s="51">
        <v>0</v>
      </c>
      <c r="E46" s="51"/>
      <c r="F46" s="51"/>
    </row>
    <row r="47" spans="1:6" x14ac:dyDescent="0.25">
      <c r="A47" s="140">
        <v>45</v>
      </c>
      <c r="B47" s="110" t="s">
        <v>179</v>
      </c>
      <c r="C47" s="384">
        <v>0</v>
      </c>
      <c r="D47" s="51">
        <v>0</v>
      </c>
      <c r="E47" s="51"/>
      <c r="F47" s="51"/>
    </row>
    <row r="48" spans="1:6" x14ac:dyDescent="0.25">
      <c r="A48" s="140">
        <v>46</v>
      </c>
      <c r="B48" s="110" t="s">
        <v>178</v>
      </c>
      <c r="C48" s="384">
        <v>0</v>
      </c>
      <c r="D48" s="51">
        <v>0</v>
      </c>
      <c r="E48" s="51"/>
      <c r="F48" s="51"/>
    </row>
    <row r="49" spans="1:6" x14ac:dyDescent="0.25">
      <c r="A49" s="141">
        <v>47</v>
      </c>
      <c r="B49" s="110" t="s">
        <v>177</v>
      </c>
      <c r="C49" s="384">
        <v>0</v>
      </c>
      <c r="D49" s="51">
        <v>0</v>
      </c>
      <c r="E49" s="51"/>
      <c r="F49" s="51"/>
    </row>
    <row r="50" spans="1:6" x14ac:dyDescent="0.25">
      <c r="A50" s="140">
        <v>48</v>
      </c>
      <c r="B50" s="110" t="s">
        <v>176</v>
      </c>
      <c r="C50" s="384">
        <v>0</v>
      </c>
      <c r="D50" s="51">
        <v>0</v>
      </c>
      <c r="E50" s="51"/>
      <c r="F50" s="51"/>
    </row>
    <row r="51" spans="1:6" x14ac:dyDescent="0.25">
      <c r="A51" s="140">
        <v>49</v>
      </c>
      <c r="B51" s="110" t="s">
        <v>175</v>
      </c>
      <c r="C51" s="384">
        <v>0</v>
      </c>
      <c r="D51" s="51">
        <v>0</v>
      </c>
      <c r="E51" s="51"/>
      <c r="F51" s="51"/>
    </row>
    <row r="52" spans="1:6" x14ac:dyDescent="0.25">
      <c r="A52" s="141">
        <v>50</v>
      </c>
      <c r="B52" s="110" t="s">
        <v>174</v>
      </c>
      <c r="C52" s="384">
        <v>0</v>
      </c>
      <c r="D52" s="51">
        <v>0</v>
      </c>
      <c r="E52" s="51"/>
      <c r="F52" s="51"/>
    </row>
    <row r="53" spans="1:6" x14ac:dyDescent="0.25">
      <c r="A53" s="140">
        <v>51</v>
      </c>
      <c r="B53" s="110" t="s">
        <v>173</v>
      </c>
      <c r="C53" s="384">
        <v>0</v>
      </c>
      <c r="D53" s="51">
        <v>0</v>
      </c>
      <c r="E53" s="51"/>
      <c r="F53" s="51"/>
    </row>
    <row r="54" spans="1:6" x14ac:dyDescent="0.25">
      <c r="A54" s="141">
        <v>52</v>
      </c>
      <c r="B54" s="110" t="s">
        <v>172</v>
      </c>
      <c r="C54" s="384">
        <v>75367.92</v>
      </c>
      <c r="D54" s="51">
        <v>0</v>
      </c>
      <c r="E54" s="51"/>
      <c r="F54" s="51"/>
    </row>
    <row r="55" spans="1:6" x14ac:dyDescent="0.25">
      <c r="A55" s="140">
        <v>53</v>
      </c>
      <c r="B55" s="110" t="s">
        <v>171</v>
      </c>
      <c r="C55" s="384">
        <v>0</v>
      </c>
      <c r="D55" s="51">
        <v>0</v>
      </c>
      <c r="E55" s="51"/>
      <c r="F55" s="51"/>
    </row>
    <row r="56" spans="1:6" x14ac:dyDescent="0.25">
      <c r="A56" s="140">
        <v>54</v>
      </c>
      <c r="B56" s="110" t="s">
        <v>170</v>
      </c>
      <c r="C56" s="384">
        <v>0</v>
      </c>
      <c r="D56" s="51">
        <v>0</v>
      </c>
      <c r="E56" s="51"/>
      <c r="F56" s="51"/>
    </row>
    <row r="57" spans="1:6" x14ac:dyDescent="0.25">
      <c r="A57" s="141">
        <v>55</v>
      </c>
      <c r="B57" s="110" t="s">
        <v>169</v>
      </c>
      <c r="C57" s="384">
        <v>0</v>
      </c>
      <c r="D57" s="51">
        <v>0</v>
      </c>
      <c r="E57" s="51"/>
      <c r="F57" s="51"/>
    </row>
    <row r="58" spans="1:6" x14ac:dyDescent="0.25">
      <c r="A58" s="140">
        <v>56</v>
      </c>
      <c r="B58" s="110" t="s">
        <v>168</v>
      </c>
      <c r="C58" s="384">
        <v>0</v>
      </c>
      <c r="D58" s="51">
        <v>75575</v>
      </c>
      <c r="E58" s="51"/>
      <c r="F58" s="51"/>
    </row>
    <row r="59" spans="1:6" x14ac:dyDescent="0.25">
      <c r="A59" s="140">
        <v>57</v>
      </c>
      <c r="B59" s="110" t="s">
        <v>167</v>
      </c>
      <c r="C59" s="384">
        <v>0</v>
      </c>
      <c r="D59" s="51">
        <v>370741.84</v>
      </c>
      <c r="E59" s="51"/>
      <c r="F59" s="51"/>
    </row>
    <row r="60" spans="1:6" x14ac:dyDescent="0.25">
      <c r="A60" s="141">
        <v>58</v>
      </c>
      <c r="B60" s="110" t="s">
        <v>166</v>
      </c>
      <c r="C60" s="384">
        <v>0</v>
      </c>
      <c r="D60" s="51">
        <v>0</v>
      </c>
      <c r="E60" s="51"/>
      <c r="F60" s="51"/>
    </row>
    <row r="61" spans="1:6" x14ac:dyDescent="0.25">
      <c r="A61" s="140">
        <v>59</v>
      </c>
      <c r="B61" s="110" t="s">
        <v>165</v>
      </c>
      <c r="C61" s="384">
        <v>0</v>
      </c>
      <c r="D61" s="51">
        <v>0</v>
      </c>
      <c r="E61" s="51"/>
      <c r="F61" s="51"/>
    </row>
    <row r="62" spans="1:6" x14ac:dyDescent="0.25">
      <c r="A62" s="140">
        <v>60</v>
      </c>
      <c r="B62" s="110" t="s">
        <v>164</v>
      </c>
      <c r="C62" s="384">
        <v>0</v>
      </c>
      <c r="D62" s="51">
        <v>0</v>
      </c>
      <c r="E62" s="51"/>
      <c r="F62" s="51"/>
    </row>
    <row r="63" spans="1:6" x14ac:dyDescent="0.25">
      <c r="A63" s="141">
        <v>61</v>
      </c>
      <c r="B63" s="110" t="s">
        <v>163</v>
      </c>
      <c r="C63" s="384">
        <v>0</v>
      </c>
      <c r="D63" s="51">
        <v>0</v>
      </c>
      <c r="E63" s="51"/>
      <c r="F63" s="51"/>
    </row>
    <row r="64" spans="1:6" x14ac:dyDescent="0.25">
      <c r="A64" s="140">
        <v>62</v>
      </c>
      <c r="B64" s="110" t="s">
        <v>162</v>
      </c>
      <c r="C64" s="384">
        <v>0</v>
      </c>
      <c r="D64" s="51">
        <v>0</v>
      </c>
      <c r="E64" s="51"/>
      <c r="F64" s="51"/>
    </row>
    <row r="65" spans="1:6" x14ac:dyDescent="0.25">
      <c r="A65" s="140">
        <v>63</v>
      </c>
      <c r="B65" s="110" t="s">
        <v>161</v>
      </c>
      <c r="C65" s="384">
        <v>0</v>
      </c>
      <c r="D65" s="51">
        <v>0</v>
      </c>
      <c r="E65" s="51"/>
      <c r="F65" s="51"/>
    </row>
    <row r="66" spans="1:6" x14ac:dyDescent="0.25">
      <c r="A66" s="141">
        <v>64</v>
      </c>
      <c r="B66" s="110" t="s">
        <v>160</v>
      </c>
      <c r="C66" s="384">
        <v>0</v>
      </c>
      <c r="D66" s="51">
        <v>0</v>
      </c>
      <c r="E66" s="51"/>
      <c r="F66" s="51"/>
    </row>
    <row r="67" spans="1:6" x14ac:dyDescent="0.25">
      <c r="A67" s="140">
        <v>65</v>
      </c>
      <c r="B67" s="110" t="s">
        <v>159</v>
      </c>
      <c r="C67" s="384">
        <v>0</v>
      </c>
      <c r="D67" s="51">
        <v>0</v>
      </c>
      <c r="E67" s="51"/>
      <c r="F67" s="51"/>
    </row>
    <row r="68" spans="1:6" x14ac:dyDescent="0.25">
      <c r="A68" s="140">
        <v>66</v>
      </c>
      <c r="B68" s="110" t="s">
        <v>158</v>
      </c>
      <c r="C68" s="384">
        <v>0</v>
      </c>
      <c r="D68" s="51">
        <v>0</v>
      </c>
      <c r="E68" s="51"/>
      <c r="F68" s="51"/>
    </row>
    <row r="69" spans="1:6" x14ac:dyDescent="0.25">
      <c r="A69" s="141">
        <v>67</v>
      </c>
      <c r="B69" s="110" t="s">
        <v>157</v>
      </c>
      <c r="C69" s="384">
        <v>0</v>
      </c>
      <c r="D69" s="51">
        <v>0</v>
      </c>
      <c r="E69" s="51"/>
      <c r="F69" s="51"/>
    </row>
    <row r="70" spans="1:6" x14ac:dyDescent="0.25">
      <c r="A70" s="140">
        <v>68</v>
      </c>
      <c r="B70" s="110" t="s">
        <v>156</v>
      </c>
      <c r="C70" s="384">
        <v>0</v>
      </c>
      <c r="D70" s="51">
        <v>0</v>
      </c>
      <c r="E70" s="51"/>
      <c r="F70" s="51"/>
    </row>
    <row r="71" spans="1:6" x14ac:dyDescent="0.25">
      <c r="A71" s="141">
        <v>69</v>
      </c>
      <c r="B71" s="110" t="s">
        <v>155</v>
      </c>
      <c r="C71" s="384">
        <v>0</v>
      </c>
      <c r="D71" s="51">
        <v>0</v>
      </c>
      <c r="E71" s="51"/>
      <c r="F71" s="51"/>
    </row>
    <row r="72" spans="1:6" x14ac:dyDescent="0.25">
      <c r="A72" s="140">
        <v>70</v>
      </c>
      <c r="B72" s="110" t="s">
        <v>154</v>
      </c>
      <c r="C72" s="384">
        <v>0</v>
      </c>
      <c r="D72" s="51">
        <v>0</v>
      </c>
      <c r="E72" s="51"/>
      <c r="F72" s="51"/>
    </row>
    <row r="73" spans="1:6" x14ac:dyDescent="0.25">
      <c r="A73" s="140">
        <v>71</v>
      </c>
      <c r="B73" s="110" t="s">
        <v>153</v>
      </c>
      <c r="C73" s="384">
        <v>0</v>
      </c>
      <c r="D73" s="51">
        <v>0</v>
      </c>
      <c r="E73" s="51"/>
      <c r="F73" s="51"/>
    </row>
    <row r="74" spans="1:6" x14ac:dyDescent="0.25">
      <c r="A74" s="141">
        <v>72</v>
      </c>
      <c r="B74" s="110" t="s">
        <v>152</v>
      </c>
      <c r="C74" s="384">
        <v>0</v>
      </c>
      <c r="D74" s="51">
        <v>0</v>
      </c>
      <c r="E74" s="51"/>
      <c r="F74" s="51"/>
    </row>
    <row r="75" spans="1:6" x14ac:dyDescent="0.25">
      <c r="A75" s="140">
        <v>73</v>
      </c>
      <c r="B75" s="110" t="s">
        <v>151</v>
      </c>
      <c r="C75" s="384">
        <v>0</v>
      </c>
      <c r="D75" s="51">
        <v>0</v>
      </c>
      <c r="E75" s="51"/>
      <c r="F75" s="51"/>
    </row>
    <row r="76" spans="1:6" x14ac:dyDescent="0.25">
      <c r="A76" s="140">
        <v>74</v>
      </c>
      <c r="B76" s="110" t="s">
        <v>150</v>
      </c>
      <c r="C76" s="384">
        <v>0</v>
      </c>
      <c r="D76" s="51">
        <v>0</v>
      </c>
      <c r="E76" s="51"/>
      <c r="F76" s="51"/>
    </row>
    <row r="77" spans="1:6" x14ac:dyDescent="0.25">
      <c r="A77" s="141">
        <v>75</v>
      </c>
      <c r="B77" s="110" t="s">
        <v>149</v>
      </c>
      <c r="C77" s="384">
        <v>0</v>
      </c>
      <c r="D77" s="51">
        <v>0</v>
      </c>
      <c r="E77" s="51"/>
      <c r="F77" s="51"/>
    </row>
    <row r="78" spans="1:6" x14ac:dyDescent="0.25">
      <c r="A78" s="140">
        <v>76</v>
      </c>
      <c r="B78" s="110" t="s">
        <v>148</v>
      </c>
      <c r="C78" s="384">
        <v>0</v>
      </c>
      <c r="D78" s="51">
        <v>0</v>
      </c>
      <c r="E78" s="51"/>
      <c r="F78" s="51"/>
    </row>
    <row r="79" spans="1:6" x14ac:dyDescent="0.25">
      <c r="A79" s="140">
        <v>77</v>
      </c>
      <c r="B79" s="110" t="s">
        <v>147</v>
      </c>
      <c r="C79" s="384">
        <v>3641142.65</v>
      </c>
      <c r="D79" s="51">
        <v>2025588.39</v>
      </c>
      <c r="E79" s="51"/>
      <c r="F79" s="51"/>
    </row>
    <row r="80" spans="1:6" x14ac:dyDescent="0.25">
      <c r="A80" s="141">
        <v>78</v>
      </c>
      <c r="B80" s="110" t="s">
        <v>146</v>
      </c>
      <c r="C80" s="384">
        <v>0</v>
      </c>
      <c r="D80" s="51">
        <v>0</v>
      </c>
      <c r="E80" s="51"/>
      <c r="F80" s="51"/>
    </row>
    <row r="81" spans="1:6" x14ac:dyDescent="0.25">
      <c r="A81" s="140">
        <v>79</v>
      </c>
      <c r="B81" s="110" t="s">
        <v>145</v>
      </c>
      <c r="C81" s="384">
        <v>0</v>
      </c>
      <c r="D81" s="51">
        <v>0</v>
      </c>
      <c r="E81" s="51"/>
      <c r="F81" s="51"/>
    </row>
    <row r="82" spans="1:6" x14ac:dyDescent="0.25">
      <c r="A82" s="140">
        <v>80</v>
      </c>
      <c r="B82" s="110" t="s">
        <v>144</v>
      </c>
      <c r="C82" s="384">
        <v>0</v>
      </c>
      <c r="D82" s="51">
        <v>0</v>
      </c>
      <c r="E82" s="51"/>
      <c r="F82" s="51"/>
    </row>
    <row r="83" spans="1:6" x14ac:dyDescent="0.25">
      <c r="A83" s="141">
        <v>81</v>
      </c>
      <c r="B83" s="110" t="s">
        <v>143</v>
      </c>
      <c r="C83" s="384">
        <v>0</v>
      </c>
      <c r="D83" s="51">
        <v>0</v>
      </c>
      <c r="E83" s="51"/>
      <c r="F83" s="51"/>
    </row>
    <row r="84" spans="1:6" x14ac:dyDescent="0.25">
      <c r="A84" s="140">
        <v>82</v>
      </c>
      <c r="B84" s="110" t="s">
        <v>142</v>
      </c>
      <c r="C84" s="384">
        <v>0</v>
      </c>
      <c r="D84" s="51">
        <v>0</v>
      </c>
      <c r="E84" s="51"/>
      <c r="F84" s="51"/>
    </row>
    <row r="85" spans="1:6" x14ac:dyDescent="0.25">
      <c r="A85" s="140">
        <v>83</v>
      </c>
      <c r="B85" s="110" t="s">
        <v>141</v>
      </c>
      <c r="C85" s="384">
        <v>0</v>
      </c>
      <c r="D85" s="51">
        <v>0</v>
      </c>
      <c r="E85" s="51"/>
      <c r="F85" s="51"/>
    </row>
    <row r="86" spans="1:6" x14ac:dyDescent="0.25">
      <c r="A86" s="141">
        <v>84</v>
      </c>
      <c r="B86" s="110" t="s">
        <v>140</v>
      </c>
      <c r="C86" s="384">
        <v>0</v>
      </c>
      <c r="D86" s="51">
        <v>0</v>
      </c>
      <c r="E86" s="51"/>
      <c r="F86" s="51"/>
    </row>
    <row r="87" spans="1:6" x14ac:dyDescent="0.25">
      <c r="A87" s="140">
        <v>85</v>
      </c>
      <c r="B87" s="110" t="s">
        <v>139</v>
      </c>
      <c r="C87" s="384">
        <v>0</v>
      </c>
      <c r="D87" s="51">
        <v>0</v>
      </c>
      <c r="E87" s="51"/>
      <c r="F87" s="51"/>
    </row>
    <row r="88" spans="1:6" x14ac:dyDescent="0.25">
      <c r="A88" s="141">
        <v>86</v>
      </c>
      <c r="B88" s="110" t="s">
        <v>138</v>
      </c>
      <c r="C88" s="384">
        <v>0</v>
      </c>
      <c r="D88" s="51">
        <v>0</v>
      </c>
      <c r="E88" s="51"/>
      <c r="F88" s="51"/>
    </row>
    <row r="89" spans="1:6" x14ac:dyDescent="0.25">
      <c r="A89" s="140">
        <v>87</v>
      </c>
      <c r="B89" s="110" t="s">
        <v>137</v>
      </c>
      <c r="C89" s="384">
        <v>0</v>
      </c>
      <c r="D89" s="51">
        <v>0</v>
      </c>
      <c r="E89" s="51"/>
      <c r="F89" s="51"/>
    </row>
    <row r="90" spans="1:6" x14ac:dyDescent="0.25">
      <c r="A90" s="140">
        <v>88</v>
      </c>
      <c r="B90" s="110" t="s">
        <v>136</v>
      </c>
      <c r="C90" s="384">
        <v>0</v>
      </c>
      <c r="D90" s="51">
        <v>0</v>
      </c>
      <c r="E90" s="51"/>
      <c r="F90" s="51"/>
    </row>
    <row r="91" spans="1:6" x14ac:dyDescent="0.25">
      <c r="A91" s="141">
        <v>89</v>
      </c>
      <c r="B91" s="110" t="s">
        <v>135</v>
      </c>
      <c r="C91" s="384">
        <v>0</v>
      </c>
      <c r="D91" s="51">
        <v>0</v>
      </c>
      <c r="E91" s="51"/>
      <c r="F91" s="51"/>
    </row>
    <row r="92" spans="1:6" x14ac:dyDescent="0.25">
      <c r="A92" s="140">
        <v>90</v>
      </c>
      <c r="B92" s="110" t="s">
        <v>134</v>
      </c>
      <c r="C92" s="384">
        <v>0</v>
      </c>
      <c r="D92" s="51">
        <v>0</v>
      </c>
      <c r="E92" s="51"/>
      <c r="F92" s="51"/>
    </row>
    <row r="93" spans="1:6" x14ac:dyDescent="0.25">
      <c r="A93" s="140">
        <v>91</v>
      </c>
      <c r="B93" s="110" t="s">
        <v>133</v>
      </c>
      <c r="C93" s="384">
        <v>0</v>
      </c>
      <c r="D93" s="51">
        <v>126321.52</v>
      </c>
      <c r="E93" s="51"/>
      <c r="F93" s="51"/>
    </row>
    <row r="94" spans="1:6" x14ac:dyDescent="0.25">
      <c r="A94" s="141">
        <v>92</v>
      </c>
      <c r="B94" s="110" t="s">
        <v>132</v>
      </c>
      <c r="C94" s="384">
        <v>216984.67</v>
      </c>
      <c r="D94" s="51">
        <v>0</v>
      </c>
      <c r="E94" s="51"/>
      <c r="F94" s="51"/>
    </row>
    <row r="95" spans="1:6" x14ac:dyDescent="0.25">
      <c r="A95" s="140">
        <v>93</v>
      </c>
      <c r="B95" s="110" t="s">
        <v>131</v>
      </c>
      <c r="C95" s="384">
        <v>0</v>
      </c>
      <c r="D95" s="51">
        <v>0</v>
      </c>
      <c r="E95" s="51"/>
      <c r="F95" s="51"/>
    </row>
    <row r="96" spans="1:6" x14ac:dyDescent="0.25">
      <c r="A96" s="140">
        <v>94</v>
      </c>
      <c r="B96" s="110" t="s">
        <v>130</v>
      </c>
      <c r="C96" s="384">
        <v>0</v>
      </c>
      <c r="D96" s="51">
        <v>0</v>
      </c>
      <c r="E96" s="51"/>
      <c r="F96" s="51"/>
    </row>
    <row r="97" spans="1:6" x14ac:dyDescent="0.25">
      <c r="A97" s="141">
        <v>95</v>
      </c>
      <c r="B97" s="110" t="s">
        <v>129</v>
      </c>
      <c r="C97" s="384">
        <v>0</v>
      </c>
      <c r="D97" s="51">
        <v>0</v>
      </c>
      <c r="E97" s="51"/>
      <c r="F97" s="51"/>
    </row>
    <row r="98" spans="1:6" x14ac:dyDescent="0.25">
      <c r="A98" s="140">
        <v>96</v>
      </c>
      <c r="B98" s="110" t="s">
        <v>128</v>
      </c>
      <c r="C98" s="384">
        <v>0</v>
      </c>
      <c r="D98" s="51">
        <v>0</v>
      </c>
      <c r="E98" s="51"/>
      <c r="F98" s="51"/>
    </row>
    <row r="99" spans="1:6" x14ac:dyDescent="0.25">
      <c r="A99" s="140">
        <v>97</v>
      </c>
      <c r="B99" s="110" t="s">
        <v>127</v>
      </c>
      <c r="C99" s="384">
        <v>0</v>
      </c>
      <c r="D99" s="51">
        <v>72257.53</v>
      </c>
      <c r="E99" s="51"/>
      <c r="F99" s="51"/>
    </row>
    <row r="100" spans="1:6" x14ac:dyDescent="0.25">
      <c r="A100" s="141">
        <v>98</v>
      </c>
      <c r="B100" s="110" t="s">
        <v>126</v>
      </c>
      <c r="C100" s="384">
        <v>0</v>
      </c>
      <c r="D100" s="51">
        <v>0</v>
      </c>
      <c r="E100" s="51"/>
      <c r="F100" s="51"/>
    </row>
    <row r="101" spans="1:6" x14ac:dyDescent="0.25">
      <c r="A101" s="140">
        <v>99</v>
      </c>
      <c r="B101" s="110" t="s">
        <v>125</v>
      </c>
      <c r="C101" s="384">
        <v>0</v>
      </c>
      <c r="D101" s="51">
        <v>0</v>
      </c>
      <c r="E101" s="51"/>
      <c r="F101" s="51"/>
    </row>
    <row r="102" spans="1:6" x14ac:dyDescent="0.25">
      <c r="A102" s="139"/>
      <c r="B102" s="235" t="s">
        <v>231</v>
      </c>
      <c r="C102" s="234">
        <f>SUM(C3:C101)</f>
        <v>11675487.549999999</v>
      </c>
      <c r="D102" s="234">
        <f t="shared" ref="D102:F102" si="0">SUM(D3:D101)</f>
        <v>6237919.2399999993</v>
      </c>
      <c r="E102" s="234">
        <f t="shared" si="0"/>
        <v>0</v>
      </c>
      <c r="F102" s="234">
        <f t="shared" si="0"/>
        <v>0</v>
      </c>
    </row>
    <row r="103" spans="1:6" x14ac:dyDescent="0.25">
      <c r="A103" s="139">
        <v>0</v>
      </c>
      <c r="B103" s="235" t="s">
        <v>256</v>
      </c>
      <c r="C103" s="129">
        <v>0</v>
      </c>
      <c r="D103" s="129">
        <v>0</v>
      </c>
      <c r="E103" s="129">
        <v>0</v>
      </c>
      <c r="F103" s="129"/>
    </row>
    <row r="104" spans="1:6" x14ac:dyDescent="0.25">
      <c r="A104" s="139"/>
      <c r="B104" s="235" t="s">
        <v>258</v>
      </c>
      <c r="C104" s="51">
        <v>11675487.550000001</v>
      </c>
      <c r="D104" s="51">
        <v>6237919.2400000002</v>
      </c>
      <c r="E104" s="51"/>
      <c r="F104" s="51"/>
    </row>
    <row r="105" spans="1:6" x14ac:dyDescent="0.25">
      <c r="B105" s="235" t="s">
        <v>259</v>
      </c>
      <c r="C105" s="240">
        <f>C102+C103-C104</f>
        <v>0</v>
      </c>
      <c r="D105" s="240">
        <f t="shared" ref="D105:F105" si="1">D102-D104</f>
        <v>0</v>
      </c>
      <c r="E105" s="240">
        <f t="shared" si="1"/>
        <v>0</v>
      </c>
      <c r="F105" s="240">
        <f t="shared" si="1"/>
        <v>0</v>
      </c>
    </row>
    <row r="106" spans="1:6" x14ac:dyDescent="0.25">
      <c r="C106" s="344"/>
      <c r="D106" s="344"/>
      <c r="E106" s="344"/>
      <c r="F106" s="344"/>
    </row>
    <row r="108" spans="1:6" x14ac:dyDescent="0.25">
      <c r="B108" s="235" t="s">
        <v>270</v>
      </c>
      <c r="C108" s="51">
        <f>C102</f>
        <v>11675487.549999999</v>
      </c>
      <c r="D108" s="51">
        <f>C108+D102</f>
        <v>17913406.789999999</v>
      </c>
      <c r="E108" s="51">
        <f>D108+E102</f>
        <v>17913406.789999999</v>
      </c>
      <c r="F108" s="51">
        <f>E108+F102</f>
        <v>17913406.789999999</v>
      </c>
    </row>
    <row r="109" spans="1:6" x14ac:dyDescent="0.25">
      <c r="C109" s="344" t="s">
        <v>306</v>
      </c>
      <c r="D109" s="344" t="s">
        <v>306</v>
      </c>
      <c r="E109" s="344" t="s">
        <v>306</v>
      </c>
      <c r="F109" s="344" t="s">
        <v>306</v>
      </c>
    </row>
    <row r="110" spans="1:6" x14ac:dyDescent="0.25">
      <c r="C110" s="51"/>
    </row>
    <row r="111" spans="1:6" x14ac:dyDescent="0.25">
      <c r="F111" s="51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AE19C-A291-41D9-9F6A-FF43632DA6E5}">
  <dimension ref="A1:R110"/>
  <sheetViews>
    <sheetView topLeftCell="A89" workbookViewId="0">
      <selection activeCell="H109" sqref="H109"/>
    </sheetView>
  </sheetViews>
  <sheetFormatPr defaultRowHeight="15" x14ac:dyDescent="0.25"/>
  <cols>
    <col min="2" max="2" width="16.85546875" bestFit="1" customWidth="1"/>
    <col min="3" max="3" width="16.85546875" style="295" customWidth="1"/>
    <col min="4" max="4" width="16.85546875" style="61" customWidth="1"/>
    <col min="5" max="5" width="15.42578125" style="300" customWidth="1"/>
    <col min="6" max="6" width="15.42578125" style="301" customWidth="1"/>
    <col min="7" max="7" width="15.42578125" style="236" customWidth="1"/>
    <col min="8" max="8" width="14.5703125" style="300" customWidth="1"/>
    <col min="9" max="9" width="14.28515625" style="301" bestFit="1" customWidth="1"/>
    <col min="10" max="10" width="14" style="129" bestFit="1" customWidth="1"/>
    <col min="11" max="11" width="14.7109375" style="300" customWidth="1"/>
    <col min="12" max="12" width="14.28515625" style="301" bestFit="1" customWidth="1"/>
    <col min="13" max="13" width="14" style="129" bestFit="1" customWidth="1"/>
    <col min="14" max="14" width="13.5703125" style="300" customWidth="1"/>
  </cols>
  <sheetData>
    <row r="1" spans="1:18" x14ac:dyDescent="0.25">
      <c r="C1" s="543" t="s">
        <v>229</v>
      </c>
      <c r="D1" s="544"/>
      <c r="E1" s="545"/>
      <c r="F1" s="543" t="s">
        <v>228</v>
      </c>
      <c r="G1" s="544"/>
      <c r="H1" s="545"/>
      <c r="I1" s="543" t="s">
        <v>227</v>
      </c>
      <c r="J1" s="544"/>
      <c r="K1" s="545"/>
      <c r="L1" s="543" t="s">
        <v>226</v>
      </c>
      <c r="M1" s="544"/>
      <c r="N1" s="545"/>
    </row>
    <row r="2" spans="1:18" ht="25.5" x14ac:dyDescent="0.25">
      <c r="A2" s="114" t="s">
        <v>225</v>
      </c>
      <c r="B2" s="335" t="s">
        <v>224</v>
      </c>
      <c r="C2" s="293" t="s">
        <v>262</v>
      </c>
      <c r="D2" s="289" t="s">
        <v>263</v>
      </c>
      <c r="E2" s="297" t="s">
        <v>231</v>
      </c>
      <c r="F2" s="293" t="s">
        <v>262</v>
      </c>
      <c r="G2" s="327" t="s">
        <v>263</v>
      </c>
      <c r="H2" s="297" t="s">
        <v>231</v>
      </c>
      <c r="I2" s="293" t="s">
        <v>262</v>
      </c>
      <c r="J2" s="289" t="s">
        <v>263</v>
      </c>
      <c r="K2" s="297" t="s">
        <v>231</v>
      </c>
      <c r="L2" s="293" t="s">
        <v>262</v>
      </c>
      <c r="M2" s="289" t="s">
        <v>263</v>
      </c>
      <c r="N2" s="297" t="s">
        <v>231</v>
      </c>
      <c r="Q2" s="136" t="s">
        <v>236</v>
      </c>
      <c r="R2" s="136">
        <v>930</v>
      </c>
    </row>
    <row r="3" spans="1:18" x14ac:dyDescent="0.25">
      <c r="A3" s="112">
        <v>1</v>
      </c>
      <c r="B3" s="110" t="s">
        <v>223</v>
      </c>
      <c r="C3" s="382">
        <v>0</v>
      </c>
      <c r="D3" s="385">
        <v>0</v>
      </c>
      <c r="E3" s="300">
        <f>C3+D3</f>
        <v>0</v>
      </c>
      <c r="F3" s="301">
        <v>0</v>
      </c>
      <c r="G3" s="236">
        <v>0</v>
      </c>
      <c r="H3" s="300">
        <f>F3+G3</f>
        <v>0</v>
      </c>
      <c r="K3" s="300">
        <f>I3+J3</f>
        <v>0</v>
      </c>
      <c r="N3" s="300">
        <f>L3+M3</f>
        <v>0</v>
      </c>
      <c r="Q3" s="136"/>
      <c r="R3" s="136">
        <v>901</v>
      </c>
    </row>
    <row r="4" spans="1:18" x14ac:dyDescent="0.25">
      <c r="A4" s="111">
        <v>2</v>
      </c>
      <c r="B4" s="110" t="s">
        <v>222</v>
      </c>
      <c r="C4" s="382">
        <v>0</v>
      </c>
      <c r="D4" s="385">
        <v>0</v>
      </c>
      <c r="E4" s="300">
        <f t="shared" ref="E4:E67" si="0">C4+D4</f>
        <v>0</v>
      </c>
      <c r="F4" s="301">
        <v>0</v>
      </c>
      <c r="G4" s="236">
        <v>1969</v>
      </c>
      <c r="H4" s="300">
        <f t="shared" ref="H4:H67" si="1">F4+G4</f>
        <v>1969</v>
      </c>
      <c r="K4" s="300">
        <f t="shared" ref="K4:K67" si="2">I4+J4</f>
        <v>0</v>
      </c>
      <c r="N4" s="300">
        <f t="shared" ref="N4:N67" si="3">L4+M4</f>
        <v>0</v>
      </c>
      <c r="Q4" s="136"/>
      <c r="R4" s="136">
        <v>902</v>
      </c>
    </row>
    <row r="5" spans="1:18" x14ac:dyDescent="0.25">
      <c r="A5" s="111">
        <v>3</v>
      </c>
      <c r="B5" s="110" t="s">
        <v>221</v>
      </c>
      <c r="C5" s="382">
        <v>0</v>
      </c>
      <c r="D5" s="385">
        <v>0</v>
      </c>
      <c r="E5" s="300">
        <f t="shared" si="0"/>
        <v>0</v>
      </c>
      <c r="F5" s="301">
        <v>0</v>
      </c>
      <c r="G5" s="236">
        <v>0</v>
      </c>
      <c r="H5" s="300">
        <f t="shared" si="1"/>
        <v>0</v>
      </c>
      <c r="K5" s="300">
        <f t="shared" si="2"/>
        <v>0</v>
      </c>
      <c r="N5" s="300">
        <f t="shared" si="3"/>
        <v>0</v>
      </c>
    </row>
    <row r="6" spans="1:18" x14ac:dyDescent="0.25">
      <c r="A6" s="111">
        <v>4</v>
      </c>
      <c r="B6" s="110" t="s">
        <v>220</v>
      </c>
      <c r="C6" s="382">
        <v>0</v>
      </c>
      <c r="D6" s="385">
        <v>0</v>
      </c>
      <c r="E6" s="300">
        <f t="shared" si="0"/>
        <v>0</v>
      </c>
      <c r="F6" s="301">
        <v>0</v>
      </c>
      <c r="G6" s="236">
        <v>0</v>
      </c>
      <c r="H6" s="300">
        <f t="shared" si="1"/>
        <v>0</v>
      </c>
      <c r="K6" s="300">
        <f t="shared" si="2"/>
        <v>0</v>
      </c>
      <c r="N6" s="300">
        <f t="shared" si="3"/>
        <v>0</v>
      </c>
    </row>
    <row r="7" spans="1:18" x14ac:dyDescent="0.25">
      <c r="A7" s="111">
        <v>5</v>
      </c>
      <c r="B7" s="110" t="s">
        <v>219</v>
      </c>
      <c r="C7" s="382">
        <v>0</v>
      </c>
      <c r="D7" s="385">
        <v>0</v>
      </c>
      <c r="E7" s="300">
        <f t="shared" si="0"/>
        <v>0</v>
      </c>
      <c r="F7" s="301">
        <v>0</v>
      </c>
      <c r="G7" s="236">
        <v>0</v>
      </c>
      <c r="H7" s="300">
        <f t="shared" si="1"/>
        <v>0</v>
      </c>
      <c r="K7" s="300">
        <f t="shared" si="2"/>
        <v>0</v>
      </c>
      <c r="N7" s="300">
        <f t="shared" si="3"/>
        <v>0</v>
      </c>
    </row>
    <row r="8" spans="1:18" x14ac:dyDescent="0.25">
      <c r="A8" s="111">
        <v>6</v>
      </c>
      <c r="B8" s="110" t="s">
        <v>218</v>
      </c>
      <c r="C8" s="382">
        <v>0</v>
      </c>
      <c r="D8" s="385">
        <v>0</v>
      </c>
      <c r="E8" s="300">
        <f t="shared" si="0"/>
        <v>0</v>
      </c>
      <c r="F8" s="301">
        <v>0</v>
      </c>
      <c r="G8" s="236">
        <v>0</v>
      </c>
      <c r="H8" s="300">
        <f t="shared" si="1"/>
        <v>0</v>
      </c>
      <c r="K8" s="300">
        <f t="shared" si="2"/>
        <v>0</v>
      </c>
      <c r="N8" s="300">
        <f t="shared" si="3"/>
        <v>0</v>
      </c>
    </row>
    <row r="9" spans="1:18" x14ac:dyDescent="0.25">
      <c r="A9" s="111">
        <v>7</v>
      </c>
      <c r="B9" s="110" t="s">
        <v>217</v>
      </c>
      <c r="C9" s="382">
        <v>0</v>
      </c>
      <c r="D9" s="385">
        <v>0</v>
      </c>
      <c r="E9" s="300">
        <f t="shared" si="0"/>
        <v>0</v>
      </c>
      <c r="F9" s="301">
        <v>0</v>
      </c>
      <c r="G9" s="236">
        <v>0</v>
      </c>
      <c r="H9" s="300">
        <f t="shared" si="1"/>
        <v>0</v>
      </c>
      <c r="K9" s="300">
        <f t="shared" si="2"/>
        <v>0</v>
      </c>
      <c r="N9" s="300">
        <f t="shared" si="3"/>
        <v>0</v>
      </c>
    </row>
    <row r="10" spans="1:18" x14ac:dyDescent="0.25">
      <c r="A10" s="111">
        <v>8</v>
      </c>
      <c r="B10" s="110" t="s">
        <v>216</v>
      </c>
      <c r="C10" s="382">
        <v>0</v>
      </c>
      <c r="D10" s="385">
        <v>0</v>
      </c>
      <c r="E10" s="300">
        <f t="shared" si="0"/>
        <v>0</v>
      </c>
      <c r="F10" s="301">
        <v>0</v>
      </c>
      <c r="G10" s="236">
        <v>0</v>
      </c>
      <c r="H10" s="300">
        <f t="shared" si="1"/>
        <v>0</v>
      </c>
      <c r="K10" s="300">
        <f t="shared" si="2"/>
        <v>0</v>
      </c>
      <c r="N10" s="300">
        <f t="shared" si="3"/>
        <v>0</v>
      </c>
      <c r="Q10" t="s">
        <v>261</v>
      </c>
    </row>
    <row r="11" spans="1:18" x14ac:dyDescent="0.25">
      <c r="A11" s="111">
        <v>9</v>
      </c>
      <c r="B11" s="110" t="s">
        <v>215</v>
      </c>
      <c r="C11" s="382">
        <v>0</v>
      </c>
      <c r="D11" s="385">
        <v>0</v>
      </c>
      <c r="E11" s="300">
        <f t="shared" si="0"/>
        <v>0</v>
      </c>
      <c r="F11" s="301">
        <v>0</v>
      </c>
      <c r="G11" s="236">
        <v>0</v>
      </c>
      <c r="H11" s="300">
        <f t="shared" si="1"/>
        <v>0</v>
      </c>
      <c r="K11" s="300">
        <f t="shared" si="2"/>
        <v>0</v>
      </c>
      <c r="N11" s="300">
        <f t="shared" si="3"/>
        <v>0</v>
      </c>
    </row>
    <row r="12" spans="1:18" x14ac:dyDescent="0.25">
      <c r="A12" s="111">
        <v>10</v>
      </c>
      <c r="B12" s="110" t="s">
        <v>214</v>
      </c>
      <c r="C12" s="382">
        <v>0</v>
      </c>
      <c r="D12" s="385">
        <v>0</v>
      </c>
      <c r="E12" s="300">
        <f t="shared" si="0"/>
        <v>0</v>
      </c>
      <c r="F12" s="301">
        <v>0</v>
      </c>
      <c r="G12" s="236">
        <v>0</v>
      </c>
      <c r="H12" s="300">
        <f t="shared" si="1"/>
        <v>0</v>
      </c>
      <c r="K12" s="300">
        <f t="shared" si="2"/>
        <v>0</v>
      </c>
      <c r="N12" s="300">
        <f t="shared" si="3"/>
        <v>0</v>
      </c>
    </row>
    <row r="13" spans="1:18" x14ac:dyDescent="0.25">
      <c r="A13" s="111">
        <v>11</v>
      </c>
      <c r="B13" s="110" t="s">
        <v>213</v>
      </c>
      <c r="C13" s="382">
        <v>0</v>
      </c>
      <c r="D13" s="385">
        <v>0</v>
      </c>
      <c r="E13" s="300">
        <f t="shared" si="0"/>
        <v>0</v>
      </c>
      <c r="F13" s="301">
        <v>0</v>
      </c>
      <c r="G13" s="236">
        <v>0</v>
      </c>
      <c r="H13" s="300">
        <f t="shared" si="1"/>
        <v>0</v>
      </c>
      <c r="K13" s="300">
        <f t="shared" si="2"/>
        <v>0</v>
      </c>
      <c r="N13" s="300">
        <f t="shared" si="3"/>
        <v>0</v>
      </c>
    </row>
    <row r="14" spans="1:18" x14ac:dyDescent="0.25">
      <c r="A14" s="111">
        <v>12</v>
      </c>
      <c r="B14" s="110" t="s">
        <v>212</v>
      </c>
      <c r="C14" s="382">
        <v>0</v>
      </c>
      <c r="D14" s="385">
        <v>0</v>
      </c>
      <c r="E14" s="300">
        <f t="shared" si="0"/>
        <v>0</v>
      </c>
      <c r="F14" s="301">
        <v>0</v>
      </c>
      <c r="G14" s="236">
        <v>0</v>
      </c>
      <c r="H14" s="300">
        <f t="shared" si="1"/>
        <v>0</v>
      </c>
      <c r="K14" s="300">
        <f t="shared" si="2"/>
        <v>0</v>
      </c>
      <c r="N14" s="300">
        <f t="shared" si="3"/>
        <v>0</v>
      </c>
    </row>
    <row r="15" spans="1:18" x14ac:dyDescent="0.25">
      <c r="A15" s="111">
        <v>13</v>
      </c>
      <c r="B15" s="110" t="s">
        <v>211</v>
      </c>
      <c r="C15" s="382">
        <v>0</v>
      </c>
      <c r="D15" s="385">
        <v>0</v>
      </c>
      <c r="E15" s="300">
        <f t="shared" si="0"/>
        <v>0</v>
      </c>
      <c r="F15" s="301">
        <v>0</v>
      </c>
      <c r="G15" s="236">
        <v>0</v>
      </c>
      <c r="H15" s="300">
        <f t="shared" si="1"/>
        <v>0</v>
      </c>
      <c r="K15" s="300">
        <f t="shared" si="2"/>
        <v>0</v>
      </c>
      <c r="N15" s="300">
        <f t="shared" si="3"/>
        <v>0</v>
      </c>
    </row>
    <row r="16" spans="1:18" x14ac:dyDescent="0.25">
      <c r="A16" s="111">
        <v>14</v>
      </c>
      <c r="B16" s="110" t="s">
        <v>210</v>
      </c>
      <c r="C16" s="382">
        <v>0</v>
      </c>
      <c r="D16" s="385">
        <v>0</v>
      </c>
      <c r="E16" s="300">
        <f t="shared" si="0"/>
        <v>0</v>
      </c>
      <c r="F16" s="301">
        <v>0</v>
      </c>
      <c r="G16" s="236">
        <v>0</v>
      </c>
      <c r="H16" s="300">
        <f t="shared" si="1"/>
        <v>0</v>
      </c>
      <c r="K16" s="300">
        <f t="shared" si="2"/>
        <v>0</v>
      </c>
      <c r="N16" s="300">
        <f t="shared" si="3"/>
        <v>0</v>
      </c>
    </row>
    <row r="17" spans="1:14" x14ac:dyDescent="0.25">
      <c r="A17" s="111">
        <v>15</v>
      </c>
      <c r="B17" s="110" t="s">
        <v>209</v>
      </c>
      <c r="C17" s="382">
        <v>0</v>
      </c>
      <c r="D17" s="385">
        <v>0</v>
      </c>
      <c r="E17" s="300">
        <f t="shared" si="0"/>
        <v>0</v>
      </c>
      <c r="F17" s="301">
        <v>0</v>
      </c>
      <c r="G17" s="236">
        <v>0</v>
      </c>
      <c r="H17" s="300">
        <f t="shared" si="1"/>
        <v>0</v>
      </c>
      <c r="K17" s="300">
        <f t="shared" si="2"/>
        <v>0</v>
      </c>
      <c r="N17" s="300">
        <f t="shared" si="3"/>
        <v>0</v>
      </c>
    </row>
    <row r="18" spans="1:14" x14ac:dyDescent="0.25">
      <c r="A18" s="111">
        <v>16</v>
      </c>
      <c r="B18" s="110" t="s">
        <v>208</v>
      </c>
      <c r="C18" s="382">
        <v>0</v>
      </c>
      <c r="D18" s="385">
        <v>0</v>
      </c>
      <c r="E18" s="300">
        <f t="shared" si="0"/>
        <v>0</v>
      </c>
      <c r="F18" s="301">
        <v>0</v>
      </c>
      <c r="G18" s="236">
        <v>0</v>
      </c>
      <c r="H18" s="300">
        <f t="shared" si="1"/>
        <v>0</v>
      </c>
      <c r="K18" s="300">
        <f t="shared" si="2"/>
        <v>0</v>
      </c>
      <c r="N18" s="300">
        <f t="shared" si="3"/>
        <v>0</v>
      </c>
    </row>
    <row r="19" spans="1:14" x14ac:dyDescent="0.25">
      <c r="A19" s="111">
        <v>17</v>
      </c>
      <c r="B19" s="110" t="s">
        <v>207</v>
      </c>
      <c r="C19" s="382">
        <v>0</v>
      </c>
      <c r="D19" s="385">
        <v>0</v>
      </c>
      <c r="E19" s="300">
        <f t="shared" si="0"/>
        <v>0</v>
      </c>
      <c r="F19" s="301">
        <v>0</v>
      </c>
      <c r="G19" s="236">
        <v>0</v>
      </c>
      <c r="H19" s="300">
        <f t="shared" si="1"/>
        <v>0</v>
      </c>
      <c r="K19" s="300">
        <f t="shared" si="2"/>
        <v>0</v>
      </c>
      <c r="N19" s="300">
        <f t="shared" si="3"/>
        <v>0</v>
      </c>
    </row>
    <row r="20" spans="1:14" x14ac:dyDescent="0.25">
      <c r="A20" s="111">
        <v>18</v>
      </c>
      <c r="B20" s="110" t="s">
        <v>206</v>
      </c>
      <c r="C20" s="382">
        <v>0</v>
      </c>
      <c r="D20" s="385">
        <v>0</v>
      </c>
      <c r="E20" s="300">
        <f t="shared" si="0"/>
        <v>0</v>
      </c>
      <c r="F20" s="301">
        <v>0</v>
      </c>
      <c r="G20" s="236">
        <v>0</v>
      </c>
      <c r="H20" s="300">
        <f t="shared" si="1"/>
        <v>0</v>
      </c>
      <c r="K20" s="300">
        <f t="shared" si="2"/>
        <v>0</v>
      </c>
      <c r="N20" s="300">
        <f t="shared" si="3"/>
        <v>0</v>
      </c>
    </row>
    <row r="21" spans="1:14" x14ac:dyDescent="0.25">
      <c r="A21" s="111">
        <v>19</v>
      </c>
      <c r="B21" s="110" t="s">
        <v>205</v>
      </c>
      <c r="C21" s="382">
        <v>0</v>
      </c>
      <c r="D21" s="385">
        <v>0</v>
      </c>
      <c r="E21" s="300">
        <f t="shared" si="0"/>
        <v>0</v>
      </c>
      <c r="F21" s="301">
        <v>0</v>
      </c>
      <c r="G21" s="236">
        <v>0</v>
      </c>
      <c r="H21" s="300">
        <f t="shared" si="1"/>
        <v>0</v>
      </c>
      <c r="K21" s="300">
        <f t="shared" si="2"/>
        <v>0</v>
      </c>
      <c r="N21" s="300">
        <f t="shared" si="3"/>
        <v>0</v>
      </c>
    </row>
    <row r="22" spans="1:14" x14ac:dyDescent="0.25">
      <c r="A22" s="111">
        <v>20</v>
      </c>
      <c r="B22" s="110" t="s">
        <v>204</v>
      </c>
      <c r="C22" s="382">
        <v>0</v>
      </c>
      <c r="D22" s="385">
        <v>0</v>
      </c>
      <c r="E22" s="300">
        <f t="shared" si="0"/>
        <v>0</v>
      </c>
      <c r="F22" s="301">
        <v>0</v>
      </c>
      <c r="G22" s="236">
        <v>0</v>
      </c>
      <c r="H22" s="300">
        <f t="shared" si="1"/>
        <v>0</v>
      </c>
      <c r="K22" s="300">
        <f t="shared" si="2"/>
        <v>0</v>
      </c>
      <c r="N22" s="300">
        <f t="shared" si="3"/>
        <v>0</v>
      </c>
    </row>
    <row r="23" spans="1:14" x14ac:dyDescent="0.25">
      <c r="A23" s="111">
        <v>21</v>
      </c>
      <c r="B23" s="110" t="s">
        <v>203</v>
      </c>
      <c r="C23" s="382">
        <v>0</v>
      </c>
      <c r="D23" s="385">
        <v>0</v>
      </c>
      <c r="E23" s="300">
        <f t="shared" si="0"/>
        <v>0</v>
      </c>
      <c r="F23" s="301">
        <v>0</v>
      </c>
      <c r="G23" s="236">
        <v>0</v>
      </c>
      <c r="H23" s="300">
        <f t="shared" si="1"/>
        <v>0</v>
      </c>
      <c r="K23" s="300">
        <f t="shared" si="2"/>
        <v>0</v>
      </c>
      <c r="N23" s="300">
        <f t="shared" si="3"/>
        <v>0</v>
      </c>
    </row>
    <row r="24" spans="1:14" x14ac:dyDescent="0.25">
      <c r="A24" s="111">
        <v>22</v>
      </c>
      <c r="B24" s="110" t="s">
        <v>202</v>
      </c>
      <c r="C24" s="382">
        <v>0</v>
      </c>
      <c r="D24" s="385">
        <v>0</v>
      </c>
      <c r="E24" s="300">
        <f t="shared" si="0"/>
        <v>0</v>
      </c>
      <c r="F24" s="301">
        <v>0</v>
      </c>
      <c r="G24" s="236">
        <v>0</v>
      </c>
      <c r="H24" s="300">
        <f t="shared" si="1"/>
        <v>0</v>
      </c>
      <c r="K24" s="300">
        <f t="shared" si="2"/>
        <v>0</v>
      </c>
      <c r="N24" s="300">
        <f t="shared" si="3"/>
        <v>0</v>
      </c>
    </row>
    <row r="25" spans="1:14" x14ac:dyDescent="0.25">
      <c r="A25" s="111">
        <v>23</v>
      </c>
      <c r="B25" s="110" t="s">
        <v>201</v>
      </c>
      <c r="C25" s="382">
        <v>0</v>
      </c>
      <c r="D25" s="385">
        <v>0</v>
      </c>
      <c r="E25" s="300">
        <f t="shared" si="0"/>
        <v>0</v>
      </c>
      <c r="F25" s="301">
        <v>0</v>
      </c>
      <c r="G25" s="236">
        <v>0</v>
      </c>
      <c r="H25" s="300">
        <f t="shared" si="1"/>
        <v>0</v>
      </c>
      <c r="K25" s="300">
        <f t="shared" si="2"/>
        <v>0</v>
      </c>
      <c r="N25" s="300">
        <f t="shared" si="3"/>
        <v>0</v>
      </c>
    </row>
    <row r="26" spans="1:14" x14ac:dyDescent="0.25">
      <c r="A26" s="111">
        <v>24</v>
      </c>
      <c r="B26" s="110" t="s">
        <v>200</v>
      </c>
      <c r="C26" s="382">
        <v>0</v>
      </c>
      <c r="D26" s="385">
        <v>0</v>
      </c>
      <c r="E26" s="300">
        <f t="shared" si="0"/>
        <v>0</v>
      </c>
      <c r="F26" s="301">
        <v>0</v>
      </c>
      <c r="G26" s="236">
        <v>0</v>
      </c>
      <c r="H26" s="300">
        <f t="shared" si="1"/>
        <v>0</v>
      </c>
      <c r="K26" s="300">
        <f t="shared" si="2"/>
        <v>0</v>
      </c>
      <c r="N26" s="300">
        <f t="shared" si="3"/>
        <v>0</v>
      </c>
    </row>
    <row r="27" spans="1:14" x14ac:dyDescent="0.25">
      <c r="A27" s="111">
        <v>25</v>
      </c>
      <c r="B27" s="110" t="s">
        <v>199</v>
      </c>
      <c r="C27" s="382">
        <v>0</v>
      </c>
      <c r="D27" s="385">
        <v>0</v>
      </c>
      <c r="E27" s="300">
        <f t="shared" si="0"/>
        <v>0</v>
      </c>
      <c r="F27" s="301">
        <v>0</v>
      </c>
      <c r="G27" s="236">
        <v>0</v>
      </c>
      <c r="H27" s="300">
        <f t="shared" si="1"/>
        <v>0</v>
      </c>
      <c r="K27" s="300">
        <f t="shared" si="2"/>
        <v>0</v>
      </c>
      <c r="N27" s="300">
        <f t="shared" si="3"/>
        <v>0</v>
      </c>
    </row>
    <row r="28" spans="1:14" x14ac:dyDescent="0.25">
      <c r="A28" s="111">
        <v>26</v>
      </c>
      <c r="B28" s="110" t="s">
        <v>198</v>
      </c>
      <c r="C28" s="382">
        <v>0</v>
      </c>
      <c r="D28" s="385">
        <v>0</v>
      </c>
      <c r="E28" s="300">
        <f t="shared" si="0"/>
        <v>0</v>
      </c>
      <c r="F28" s="301">
        <v>0</v>
      </c>
      <c r="G28" s="236">
        <v>0</v>
      </c>
      <c r="H28" s="300">
        <f t="shared" si="1"/>
        <v>0</v>
      </c>
      <c r="K28" s="300">
        <f t="shared" si="2"/>
        <v>0</v>
      </c>
      <c r="N28" s="300">
        <f t="shared" si="3"/>
        <v>0</v>
      </c>
    </row>
    <row r="29" spans="1:14" x14ac:dyDescent="0.25">
      <c r="A29" s="111">
        <v>27</v>
      </c>
      <c r="B29" s="110" t="s">
        <v>197</v>
      </c>
      <c r="C29" s="382">
        <v>0</v>
      </c>
      <c r="D29" s="385">
        <v>0</v>
      </c>
      <c r="E29" s="300">
        <f t="shared" si="0"/>
        <v>0</v>
      </c>
      <c r="F29" s="301">
        <v>0</v>
      </c>
      <c r="G29" s="236">
        <v>0</v>
      </c>
      <c r="H29" s="300">
        <f t="shared" si="1"/>
        <v>0</v>
      </c>
      <c r="K29" s="300">
        <f t="shared" si="2"/>
        <v>0</v>
      </c>
      <c r="N29" s="300">
        <f t="shared" si="3"/>
        <v>0</v>
      </c>
    </row>
    <row r="30" spans="1:14" x14ac:dyDescent="0.25">
      <c r="A30" s="111">
        <v>28</v>
      </c>
      <c r="B30" s="110" t="s">
        <v>196</v>
      </c>
      <c r="C30" s="382">
        <v>0</v>
      </c>
      <c r="D30" s="385">
        <v>0</v>
      </c>
      <c r="E30" s="300">
        <f t="shared" si="0"/>
        <v>0</v>
      </c>
      <c r="F30" s="301">
        <v>0</v>
      </c>
      <c r="G30" s="236">
        <v>0</v>
      </c>
      <c r="H30" s="300">
        <f t="shared" si="1"/>
        <v>0</v>
      </c>
      <c r="K30" s="300">
        <f t="shared" si="2"/>
        <v>0</v>
      </c>
      <c r="N30" s="300">
        <f t="shared" si="3"/>
        <v>0</v>
      </c>
    </row>
    <row r="31" spans="1:14" x14ac:dyDescent="0.25">
      <c r="A31" s="111">
        <v>29</v>
      </c>
      <c r="B31" s="110" t="s">
        <v>195</v>
      </c>
      <c r="C31" s="382">
        <v>0</v>
      </c>
      <c r="D31" s="385">
        <v>0</v>
      </c>
      <c r="E31" s="300">
        <f t="shared" si="0"/>
        <v>0</v>
      </c>
      <c r="F31" s="301">
        <v>0</v>
      </c>
      <c r="G31" s="236">
        <v>0</v>
      </c>
      <c r="H31" s="300">
        <f t="shared" si="1"/>
        <v>0</v>
      </c>
      <c r="K31" s="300">
        <f t="shared" si="2"/>
        <v>0</v>
      </c>
      <c r="N31" s="300">
        <f t="shared" si="3"/>
        <v>0</v>
      </c>
    </row>
    <row r="32" spans="1:14" x14ac:dyDescent="0.25">
      <c r="A32" s="111">
        <v>30</v>
      </c>
      <c r="B32" s="110" t="s">
        <v>194</v>
      </c>
      <c r="C32" s="382">
        <v>0</v>
      </c>
      <c r="D32" s="385">
        <v>0</v>
      </c>
      <c r="E32" s="300">
        <f t="shared" si="0"/>
        <v>0</v>
      </c>
      <c r="F32" s="301">
        <v>0</v>
      </c>
      <c r="G32" s="236">
        <v>0</v>
      </c>
      <c r="H32" s="300">
        <f t="shared" si="1"/>
        <v>0</v>
      </c>
      <c r="K32" s="300">
        <f t="shared" si="2"/>
        <v>0</v>
      </c>
      <c r="N32" s="300">
        <f t="shared" si="3"/>
        <v>0</v>
      </c>
    </row>
    <row r="33" spans="1:14" x14ac:dyDescent="0.25">
      <c r="A33" s="111">
        <v>31</v>
      </c>
      <c r="B33" s="110" t="s">
        <v>193</v>
      </c>
      <c r="C33" s="382">
        <v>0</v>
      </c>
      <c r="D33" s="385">
        <v>0</v>
      </c>
      <c r="E33" s="300">
        <f t="shared" si="0"/>
        <v>0</v>
      </c>
      <c r="F33" s="301">
        <v>0</v>
      </c>
      <c r="G33" s="236">
        <v>0</v>
      </c>
      <c r="H33" s="300">
        <f t="shared" si="1"/>
        <v>0</v>
      </c>
      <c r="K33" s="300">
        <f t="shared" si="2"/>
        <v>0</v>
      </c>
      <c r="N33" s="300">
        <f t="shared" si="3"/>
        <v>0</v>
      </c>
    </row>
    <row r="34" spans="1:14" x14ac:dyDescent="0.25">
      <c r="A34" s="111">
        <v>32</v>
      </c>
      <c r="B34" s="110" t="s">
        <v>192</v>
      </c>
      <c r="C34" s="382">
        <v>0</v>
      </c>
      <c r="D34" s="385">
        <v>0</v>
      </c>
      <c r="E34" s="300">
        <f t="shared" si="0"/>
        <v>0</v>
      </c>
      <c r="F34" s="301">
        <v>0</v>
      </c>
      <c r="G34" s="236">
        <v>0</v>
      </c>
      <c r="H34" s="300">
        <f t="shared" si="1"/>
        <v>0</v>
      </c>
      <c r="K34" s="300">
        <f t="shared" si="2"/>
        <v>0</v>
      </c>
      <c r="N34" s="300">
        <f t="shared" si="3"/>
        <v>0</v>
      </c>
    </row>
    <row r="35" spans="1:14" x14ac:dyDescent="0.25">
      <c r="A35" s="111">
        <v>33</v>
      </c>
      <c r="B35" s="110" t="s">
        <v>191</v>
      </c>
      <c r="C35" s="382">
        <v>0</v>
      </c>
      <c r="D35" s="385">
        <v>0</v>
      </c>
      <c r="E35" s="300">
        <f t="shared" si="0"/>
        <v>0</v>
      </c>
      <c r="F35" s="301">
        <v>0</v>
      </c>
      <c r="G35" s="236">
        <v>0</v>
      </c>
      <c r="H35" s="300">
        <f t="shared" si="1"/>
        <v>0</v>
      </c>
      <c r="K35" s="300">
        <f t="shared" si="2"/>
        <v>0</v>
      </c>
      <c r="N35" s="300">
        <f t="shared" si="3"/>
        <v>0</v>
      </c>
    </row>
    <row r="36" spans="1:14" x14ac:dyDescent="0.25">
      <c r="A36" s="111">
        <v>34</v>
      </c>
      <c r="B36" s="110" t="s">
        <v>190</v>
      </c>
      <c r="C36" s="382">
        <v>0</v>
      </c>
      <c r="D36" s="385">
        <v>0</v>
      </c>
      <c r="E36" s="300">
        <f t="shared" si="0"/>
        <v>0</v>
      </c>
      <c r="F36" s="301">
        <v>0</v>
      </c>
      <c r="G36" s="236">
        <v>0</v>
      </c>
      <c r="H36" s="300">
        <f t="shared" si="1"/>
        <v>0</v>
      </c>
      <c r="K36" s="300">
        <f t="shared" si="2"/>
        <v>0</v>
      </c>
      <c r="N36" s="300">
        <f t="shared" si="3"/>
        <v>0</v>
      </c>
    </row>
    <row r="37" spans="1:14" x14ac:dyDescent="0.25">
      <c r="A37" s="111">
        <v>35</v>
      </c>
      <c r="B37" s="110" t="s">
        <v>189</v>
      </c>
      <c r="C37" s="382">
        <v>0</v>
      </c>
      <c r="D37" s="385">
        <v>0</v>
      </c>
      <c r="E37" s="300">
        <f t="shared" si="0"/>
        <v>0</v>
      </c>
      <c r="F37" s="301">
        <v>0</v>
      </c>
      <c r="G37" s="236">
        <v>0</v>
      </c>
      <c r="H37" s="300">
        <f t="shared" si="1"/>
        <v>0</v>
      </c>
      <c r="K37" s="300">
        <f t="shared" si="2"/>
        <v>0</v>
      </c>
      <c r="N37" s="300">
        <f t="shared" si="3"/>
        <v>0</v>
      </c>
    </row>
    <row r="38" spans="1:14" x14ac:dyDescent="0.25">
      <c r="A38" s="111">
        <v>36</v>
      </c>
      <c r="B38" s="110" t="s">
        <v>188</v>
      </c>
      <c r="C38" s="382">
        <v>0</v>
      </c>
      <c r="D38" s="385">
        <v>0</v>
      </c>
      <c r="E38" s="300">
        <f t="shared" si="0"/>
        <v>0</v>
      </c>
      <c r="F38" s="301">
        <v>0</v>
      </c>
      <c r="G38" s="236">
        <v>0</v>
      </c>
      <c r="H38" s="300">
        <f t="shared" si="1"/>
        <v>0</v>
      </c>
      <c r="K38" s="300">
        <f t="shared" si="2"/>
        <v>0</v>
      </c>
      <c r="N38" s="300">
        <f t="shared" si="3"/>
        <v>0</v>
      </c>
    </row>
    <row r="39" spans="1:14" x14ac:dyDescent="0.25">
      <c r="A39" s="111">
        <v>37</v>
      </c>
      <c r="B39" s="110" t="s">
        <v>187</v>
      </c>
      <c r="C39" s="382">
        <v>0</v>
      </c>
      <c r="D39" s="385">
        <v>0</v>
      </c>
      <c r="E39" s="300">
        <f t="shared" si="0"/>
        <v>0</v>
      </c>
      <c r="F39" s="301">
        <v>0</v>
      </c>
      <c r="G39" s="236">
        <v>0</v>
      </c>
      <c r="H39" s="300">
        <f t="shared" si="1"/>
        <v>0</v>
      </c>
      <c r="K39" s="300">
        <f t="shared" si="2"/>
        <v>0</v>
      </c>
      <c r="N39" s="300">
        <f t="shared" si="3"/>
        <v>0</v>
      </c>
    </row>
    <row r="40" spans="1:14" x14ac:dyDescent="0.25">
      <c r="A40" s="111">
        <v>38</v>
      </c>
      <c r="B40" s="110" t="s">
        <v>186</v>
      </c>
      <c r="C40" s="382">
        <v>0</v>
      </c>
      <c r="D40" s="385">
        <v>0</v>
      </c>
      <c r="E40" s="300">
        <f t="shared" si="0"/>
        <v>0</v>
      </c>
      <c r="F40" s="301">
        <v>0</v>
      </c>
      <c r="G40" s="236">
        <v>0</v>
      </c>
      <c r="H40" s="300">
        <f t="shared" si="1"/>
        <v>0</v>
      </c>
      <c r="K40" s="300">
        <f t="shared" si="2"/>
        <v>0</v>
      </c>
      <c r="N40" s="300">
        <f t="shared" si="3"/>
        <v>0</v>
      </c>
    </row>
    <row r="41" spans="1:14" x14ac:dyDescent="0.25">
      <c r="A41" s="111">
        <v>39</v>
      </c>
      <c r="B41" s="110" t="s">
        <v>185</v>
      </c>
      <c r="C41" s="382">
        <v>0</v>
      </c>
      <c r="D41" s="385">
        <v>0</v>
      </c>
      <c r="E41" s="300">
        <f t="shared" si="0"/>
        <v>0</v>
      </c>
      <c r="F41" s="301">
        <v>0</v>
      </c>
      <c r="G41" s="236">
        <v>0</v>
      </c>
      <c r="H41" s="300">
        <f t="shared" si="1"/>
        <v>0</v>
      </c>
      <c r="K41" s="300">
        <f t="shared" si="2"/>
        <v>0</v>
      </c>
      <c r="N41" s="300">
        <f t="shared" si="3"/>
        <v>0</v>
      </c>
    </row>
    <row r="42" spans="1:14" x14ac:dyDescent="0.25">
      <c r="A42" s="111">
        <v>40</v>
      </c>
      <c r="B42" s="110" t="s">
        <v>184</v>
      </c>
      <c r="C42" s="382">
        <v>0</v>
      </c>
      <c r="D42" s="385">
        <v>0</v>
      </c>
      <c r="E42" s="300">
        <f t="shared" si="0"/>
        <v>0</v>
      </c>
      <c r="F42" s="301">
        <v>0</v>
      </c>
      <c r="G42" s="236">
        <v>0</v>
      </c>
      <c r="H42" s="300">
        <f t="shared" si="1"/>
        <v>0</v>
      </c>
      <c r="K42" s="300">
        <f t="shared" si="2"/>
        <v>0</v>
      </c>
      <c r="N42" s="300">
        <f t="shared" si="3"/>
        <v>0</v>
      </c>
    </row>
    <row r="43" spans="1:14" x14ac:dyDescent="0.25">
      <c r="A43" s="111">
        <v>41</v>
      </c>
      <c r="B43" s="110" t="s">
        <v>183</v>
      </c>
      <c r="C43" s="382">
        <v>0</v>
      </c>
      <c r="D43" s="385">
        <v>0</v>
      </c>
      <c r="E43" s="300">
        <f t="shared" si="0"/>
        <v>0</v>
      </c>
      <c r="F43" s="301">
        <v>0</v>
      </c>
      <c r="G43" s="236">
        <v>0</v>
      </c>
      <c r="H43" s="300">
        <f t="shared" si="1"/>
        <v>0</v>
      </c>
      <c r="K43" s="300">
        <f t="shared" si="2"/>
        <v>0</v>
      </c>
      <c r="N43" s="300">
        <f t="shared" si="3"/>
        <v>0</v>
      </c>
    </row>
    <row r="44" spans="1:14" x14ac:dyDescent="0.25">
      <c r="A44" s="111">
        <v>42</v>
      </c>
      <c r="B44" s="110" t="s">
        <v>182</v>
      </c>
      <c r="C44" s="382">
        <v>0</v>
      </c>
      <c r="D44" s="385">
        <v>0</v>
      </c>
      <c r="E44" s="300">
        <f t="shared" si="0"/>
        <v>0</v>
      </c>
      <c r="F44" s="301">
        <v>0</v>
      </c>
      <c r="G44" s="236">
        <v>0</v>
      </c>
      <c r="H44" s="300">
        <f t="shared" si="1"/>
        <v>0</v>
      </c>
      <c r="K44" s="300">
        <f t="shared" si="2"/>
        <v>0</v>
      </c>
      <c r="N44" s="300">
        <f t="shared" si="3"/>
        <v>0</v>
      </c>
    </row>
    <row r="45" spans="1:14" x14ac:dyDescent="0.25">
      <c r="A45" s="111">
        <v>43</v>
      </c>
      <c r="B45" s="110" t="s">
        <v>181</v>
      </c>
      <c r="C45" s="382">
        <v>0</v>
      </c>
      <c r="D45" s="385">
        <v>0</v>
      </c>
      <c r="E45" s="300">
        <f t="shared" si="0"/>
        <v>0</v>
      </c>
      <c r="F45" s="301">
        <v>0</v>
      </c>
      <c r="G45" s="236">
        <v>0</v>
      </c>
      <c r="H45" s="300">
        <f t="shared" si="1"/>
        <v>0</v>
      </c>
      <c r="K45" s="300">
        <f t="shared" si="2"/>
        <v>0</v>
      </c>
      <c r="N45" s="300">
        <f t="shared" si="3"/>
        <v>0</v>
      </c>
    </row>
    <row r="46" spans="1:14" x14ac:dyDescent="0.25">
      <c r="A46" s="111">
        <v>44</v>
      </c>
      <c r="B46" s="110" t="s">
        <v>180</v>
      </c>
      <c r="C46" s="382">
        <v>0</v>
      </c>
      <c r="D46" s="385">
        <v>0</v>
      </c>
      <c r="E46" s="300">
        <f t="shared" si="0"/>
        <v>0</v>
      </c>
      <c r="F46" s="301">
        <v>0</v>
      </c>
      <c r="G46" s="236">
        <v>0</v>
      </c>
      <c r="H46" s="300">
        <f t="shared" si="1"/>
        <v>0</v>
      </c>
      <c r="K46" s="300">
        <f t="shared" si="2"/>
        <v>0</v>
      </c>
      <c r="N46" s="300">
        <f t="shared" si="3"/>
        <v>0</v>
      </c>
    </row>
    <row r="47" spans="1:14" x14ac:dyDescent="0.25">
      <c r="A47" s="111">
        <v>45</v>
      </c>
      <c r="B47" s="110" t="s">
        <v>179</v>
      </c>
      <c r="C47" s="382">
        <v>0</v>
      </c>
      <c r="D47" s="385">
        <v>0</v>
      </c>
      <c r="E47" s="300">
        <f t="shared" si="0"/>
        <v>0</v>
      </c>
      <c r="F47" s="301">
        <v>0</v>
      </c>
      <c r="G47" s="236">
        <v>0</v>
      </c>
      <c r="H47" s="300">
        <f t="shared" si="1"/>
        <v>0</v>
      </c>
      <c r="K47" s="300">
        <f t="shared" si="2"/>
        <v>0</v>
      </c>
      <c r="N47" s="300">
        <f t="shared" si="3"/>
        <v>0</v>
      </c>
    </row>
    <row r="48" spans="1:14" x14ac:dyDescent="0.25">
      <c r="A48" s="111">
        <v>46</v>
      </c>
      <c r="B48" s="110" t="s">
        <v>178</v>
      </c>
      <c r="C48" s="382">
        <v>0</v>
      </c>
      <c r="D48" s="385">
        <v>0</v>
      </c>
      <c r="E48" s="300">
        <f t="shared" si="0"/>
        <v>0</v>
      </c>
      <c r="F48" s="301">
        <v>0</v>
      </c>
      <c r="G48" s="236">
        <v>0</v>
      </c>
      <c r="H48" s="300">
        <f t="shared" si="1"/>
        <v>0</v>
      </c>
      <c r="K48" s="300">
        <f t="shared" si="2"/>
        <v>0</v>
      </c>
      <c r="N48" s="300">
        <f t="shared" si="3"/>
        <v>0</v>
      </c>
    </row>
    <row r="49" spans="1:14" x14ac:dyDescent="0.25">
      <c r="A49" s="111">
        <v>47</v>
      </c>
      <c r="B49" s="110" t="s">
        <v>177</v>
      </c>
      <c r="C49" s="382">
        <v>0</v>
      </c>
      <c r="D49" s="385">
        <v>0</v>
      </c>
      <c r="E49" s="300">
        <f t="shared" si="0"/>
        <v>0</v>
      </c>
      <c r="F49" s="301">
        <v>0</v>
      </c>
      <c r="G49" s="236">
        <v>0</v>
      </c>
      <c r="H49" s="300">
        <f t="shared" si="1"/>
        <v>0</v>
      </c>
      <c r="K49" s="300">
        <f t="shared" si="2"/>
        <v>0</v>
      </c>
      <c r="N49" s="300">
        <f t="shared" si="3"/>
        <v>0</v>
      </c>
    </row>
    <row r="50" spans="1:14" x14ac:dyDescent="0.25">
      <c r="A50" s="111">
        <v>48</v>
      </c>
      <c r="B50" s="110" t="s">
        <v>176</v>
      </c>
      <c r="C50" s="382">
        <v>0</v>
      </c>
      <c r="D50" s="385">
        <v>0</v>
      </c>
      <c r="E50" s="300">
        <f t="shared" si="0"/>
        <v>0</v>
      </c>
      <c r="F50" s="301">
        <v>0</v>
      </c>
      <c r="G50" s="236">
        <v>0</v>
      </c>
      <c r="H50" s="300">
        <f t="shared" si="1"/>
        <v>0</v>
      </c>
      <c r="K50" s="300">
        <f t="shared" si="2"/>
        <v>0</v>
      </c>
      <c r="N50" s="300">
        <f t="shared" si="3"/>
        <v>0</v>
      </c>
    </row>
    <row r="51" spans="1:14" x14ac:dyDescent="0.25">
      <c r="A51" s="111">
        <v>49</v>
      </c>
      <c r="B51" s="110" t="s">
        <v>175</v>
      </c>
      <c r="C51" s="382">
        <v>0</v>
      </c>
      <c r="D51" s="385">
        <v>0</v>
      </c>
      <c r="E51" s="300">
        <f t="shared" si="0"/>
        <v>0</v>
      </c>
      <c r="F51" s="301">
        <v>0</v>
      </c>
      <c r="G51" s="236">
        <v>0</v>
      </c>
      <c r="H51" s="300">
        <f t="shared" si="1"/>
        <v>0</v>
      </c>
      <c r="K51" s="300">
        <f t="shared" si="2"/>
        <v>0</v>
      </c>
      <c r="N51" s="300">
        <f t="shared" si="3"/>
        <v>0</v>
      </c>
    </row>
    <row r="52" spans="1:14" x14ac:dyDescent="0.25">
      <c r="A52" s="111">
        <v>50</v>
      </c>
      <c r="B52" s="110" t="s">
        <v>174</v>
      </c>
      <c r="C52" s="382">
        <v>0</v>
      </c>
      <c r="D52" s="385">
        <v>0</v>
      </c>
      <c r="E52" s="300">
        <f t="shared" si="0"/>
        <v>0</v>
      </c>
      <c r="F52" s="301">
        <v>0</v>
      </c>
      <c r="G52" s="236">
        <v>0</v>
      </c>
      <c r="H52" s="300">
        <f t="shared" si="1"/>
        <v>0</v>
      </c>
      <c r="K52" s="300">
        <f t="shared" si="2"/>
        <v>0</v>
      </c>
      <c r="N52" s="300">
        <f t="shared" si="3"/>
        <v>0</v>
      </c>
    </row>
    <row r="53" spans="1:14" x14ac:dyDescent="0.25">
      <c r="A53" s="111">
        <v>51</v>
      </c>
      <c r="B53" s="110" t="s">
        <v>173</v>
      </c>
      <c r="C53" s="382">
        <v>0</v>
      </c>
      <c r="D53" s="385">
        <v>0</v>
      </c>
      <c r="E53" s="300">
        <f t="shared" si="0"/>
        <v>0</v>
      </c>
      <c r="F53" s="301">
        <v>0</v>
      </c>
      <c r="G53" s="236">
        <v>0</v>
      </c>
      <c r="H53" s="300">
        <f t="shared" si="1"/>
        <v>0</v>
      </c>
      <c r="K53" s="300">
        <f t="shared" si="2"/>
        <v>0</v>
      </c>
      <c r="N53" s="300">
        <f t="shared" si="3"/>
        <v>0</v>
      </c>
    </row>
    <row r="54" spans="1:14" x14ac:dyDescent="0.25">
      <c r="A54" s="111">
        <v>52</v>
      </c>
      <c r="B54" s="110" t="s">
        <v>172</v>
      </c>
      <c r="C54" s="382">
        <v>0</v>
      </c>
      <c r="D54" s="385">
        <v>0</v>
      </c>
      <c r="E54" s="300">
        <f t="shared" si="0"/>
        <v>0</v>
      </c>
      <c r="F54" s="301">
        <v>0</v>
      </c>
      <c r="G54" s="236">
        <v>0</v>
      </c>
      <c r="H54" s="300">
        <f t="shared" si="1"/>
        <v>0</v>
      </c>
      <c r="K54" s="300">
        <f t="shared" si="2"/>
        <v>0</v>
      </c>
      <c r="N54" s="300">
        <f t="shared" si="3"/>
        <v>0</v>
      </c>
    </row>
    <row r="55" spans="1:14" x14ac:dyDescent="0.25">
      <c r="A55" s="111">
        <v>53</v>
      </c>
      <c r="B55" s="110" t="s">
        <v>171</v>
      </c>
      <c r="C55" s="382">
        <v>0</v>
      </c>
      <c r="D55" s="385">
        <v>0</v>
      </c>
      <c r="E55" s="300">
        <f t="shared" si="0"/>
        <v>0</v>
      </c>
      <c r="F55" s="301">
        <v>0</v>
      </c>
      <c r="G55" s="236">
        <v>0</v>
      </c>
      <c r="H55" s="300">
        <f t="shared" si="1"/>
        <v>0</v>
      </c>
      <c r="K55" s="300">
        <f t="shared" si="2"/>
        <v>0</v>
      </c>
      <c r="N55" s="300">
        <f t="shared" si="3"/>
        <v>0</v>
      </c>
    </row>
    <row r="56" spans="1:14" x14ac:dyDescent="0.25">
      <c r="A56" s="111">
        <v>54</v>
      </c>
      <c r="B56" s="110" t="s">
        <v>170</v>
      </c>
      <c r="C56" s="382">
        <v>0</v>
      </c>
      <c r="D56" s="385">
        <v>0</v>
      </c>
      <c r="E56" s="300">
        <f t="shared" si="0"/>
        <v>0</v>
      </c>
      <c r="F56" s="301">
        <v>0</v>
      </c>
      <c r="G56" s="236">
        <v>0</v>
      </c>
      <c r="H56" s="300">
        <f t="shared" si="1"/>
        <v>0</v>
      </c>
      <c r="K56" s="300">
        <f t="shared" si="2"/>
        <v>0</v>
      </c>
      <c r="N56" s="300">
        <f t="shared" si="3"/>
        <v>0</v>
      </c>
    </row>
    <row r="57" spans="1:14" x14ac:dyDescent="0.25">
      <c r="A57" s="111">
        <v>55</v>
      </c>
      <c r="B57" s="110" t="s">
        <v>169</v>
      </c>
      <c r="C57" s="382">
        <v>0</v>
      </c>
      <c r="D57" s="385">
        <v>0</v>
      </c>
      <c r="E57" s="300">
        <f t="shared" si="0"/>
        <v>0</v>
      </c>
      <c r="F57" s="301">
        <v>0</v>
      </c>
      <c r="G57" s="236">
        <v>0</v>
      </c>
      <c r="H57" s="300">
        <f t="shared" si="1"/>
        <v>0</v>
      </c>
      <c r="K57" s="300">
        <f t="shared" si="2"/>
        <v>0</v>
      </c>
      <c r="N57" s="300">
        <f t="shared" si="3"/>
        <v>0</v>
      </c>
    </row>
    <row r="58" spans="1:14" x14ac:dyDescent="0.25">
      <c r="A58" s="111">
        <v>56</v>
      </c>
      <c r="B58" s="110" t="s">
        <v>168</v>
      </c>
      <c r="C58" s="382">
        <v>0</v>
      </c>
      <c r="D58" s="385">
        <v>0</v>
      </c>
      <c r="E58" s="300">
        <f t="shared" si="0"/>
        <v>0</v>
      </c>
      <c r="F58" s="301">
        <v>0</v>
      </c>
      <c r="G58" s="236">
        <v>0</v>
      </c>
      <c r="H58" s="300">
        <f t="shared" si="1"/>
        <v>0</v>
      </c>
      <c r="K58" s="300">
        <f t="shared" si="2"/>
        <v>0</v>
      </c>
      <c r="N58" s="300">
        <f t="shared" si="3"/>
        <v>0</v>
      </c>
    </row>
    <row r="59" spans="1:14" x14ac:dyDescent="0.25">
      <c r="A59" s="111">
        <v>57</v>
      </c>
      <c r="B59" s="110" t="s">
        <v>167</v>
      </c>
      <c r="C59" s="382">
        <v>0</v>
      </c>
      <c r="D59" s="385">
        <v>0</v>
      </c>
      <c r="E59" s="300">
        <f t="shared" si="0"/>
        <v>0</v>
      </c>
      <c r="F59" s="301">
        <v>0</v>
      </c>
      <c r="G59" s="236">
        <v>0</v>
      </c>
      <c r="H59" s="300">
        <f t="shared" si="1"/>
        <v>0</v>
      </c>
      <c r="K59" s="300">
        <f t="shared" si="2"/>
        <v>0</v>
      </c>
      <c r="N59" s="300">
        <f t="shared" si="3"/>
        <v>0</v>
      </c>
    </row>
    <row r="60" spans="1:14" x14ac:dyDescent="0.25">
      <c r="A60" s="111">
        <v>58</v>
      </c>
      <c r="B60" s="110" t="s">
        <v>166</v>
      </c>
      <c r="C60" s="382">
        <v>0</v>
      </c>
      <c r="D60" s="385">
        <v>0</v>
      </c>
      <c r="E60" s="300">
        <f t="shared" si="0"/>
        <v>0</v>
      </c>
      <c r="F60" s="301">
        <v>0</v>
      </c>
      <c r="G60" s="236">
        <v>0</v>
      </c>
      <c r="H60" s="300">
        <f t="shared" si="1"/>
        <v>0</v>
      </c>
      <c r="K60" s="300">
        <f t="shared" si="2"/>
        <v>0</v>
      </c>
      <c r="N60" s="300">
        <f t="shared" si="3"/>
        <v>0</v>
      </c>
    </row>
    <row r="61" spans="1:14" x14ac:dyDescent="0.25">
      <c r="A61" s="111">
        <v>59</v>
      </c>
      <c r="B61" s="110" t="s">
        <v>165</v>
      </c>
      <c r="C61" s="382">
        <v>0</v>
      </c>
      <c r="D61" s="385">
        <v>0</v>
      </c>
      <c r="E61" s="300">
        <f t="shared" si="0"/>
        <v>0</v>
      </c>
      <c r="F61" s="301">
        <v>0</v>
      </c>
      <c r="G61" s="236">
        <v>0</v>
      </c>
      <c r="H61" s="300">
        <f t="shared" si="1"/>
        <v>0</v>
      </c>
      <c r="K61" s="300">
        <f t="shared" si="2"/>
        <v>0</v>
      </c>
      <c r="N61" s="300">
        <f t="shared" si="3"/>
        <v>0</v>
      </c>
    </row>
    <row r="62" spans="1:14" x14ac:dyDescent="0.25">
      <c r="A62" s="111">
        <v>60</v>
      </c>
      <c r="B62" s="110" t="s">
        <v>164</v>
      </c>
      <c r="C62" s="382">
        <v>0</v>
      </c>
      <c r="D62" s="385">
        <v>0</v>
      </c>
      <c r="E62" s="300">
        <f t="shared" si="0"/>
        <v>0</v>
      </c>
      <c r="F62" s="301">
        <v>0</v>
      </c>
      <c r="G62" s="236">
        <v>0</v>
      </c>
      <c r="H62" s="300">
        <f t="shared" si="1"/>
        <v>0</v>
      </c>
      <c r="K62" s="300">
        <f t="shared" si="2"/>
        <v>0</v>
      </c>
      <c r="N62" s="300">
        <f t="shared" si="3"/>
        <v>0</v>
      </c>
    </row>
    <row r="63" spans="1:14" x14ac:dyDescent="0.25">
      <c r="A63" s="111">
        <v>61</v>
      </c>
      <c r="B63" s="110" t="s">
        <v>163</v>
      </c>
      <c r="C63" s="382">
        <v>0</v>
      </c>
      <c r="D63" s="385">
        <v>0</v>
      </c>
      <c r="E63" s="300">
        <f t="shared" si="0"/>
        <v>0</v>
      </c>
      <c r="F63" s="301">
        <v>0</v>
      </c>
      <c r="G63" s="236">
        <v>0</v>
      </c>
      <c r="H63" s="300">
        <f t="shared" si="1"/>
        <v>0</v>
      </c>
      <c r="K63" s="300">
        <f t="shared" si="2"/>
        <v>0</v>
      </c>
      <c r="N63" s="300">
        <f t="shared" si="3"/>
        <v>0</v>
      </c>
    </row>
    <row r="64" spans="1:14" x14ac:dyDescent="0.25">
      <c r="A64" s="111">
        <v>62</v>
      </c>
      <c r="B64" s="110" t="s">
        <v>162</v>
      </c>
      <c r="C64" s="382">
        <v>0</v>
      </c>
      <c r="D64" s="385">
        <v>0</v>
      </c>
      <c r="E64" s="300">
        <f t="shared" si="0"/>
        <v>0</v>
      </c>
      <c r="F64" s="301">
        <v>0</v>
      </c>
      <c r="G64" s="236">
        <v>0</v>
      </c>
      <c r="H64" s="300">
        <f t="shared" si="1"/>
        <v>0</v>
      </c>
      <c r="K64" s="300">
        <f t="shared" si="2"/>
        <v>0</v>
      </c>
      <c r="N64" s="300">
        <f t="shared" si="3"/>
        <v>0</v>
      </c>
    </row>
    <row r="65" spans="1:14" x14ac:dyDescent="0.25">
      <c r="A65" s="111">
        <v>63</v>
      </c>
      <c r="B65" s="110" t="s">
        <v>161</v>
      </c>
      <c r="C65" s="382">
        <v>0</v>
      </c>
      <c r="D65" s="385">
        <v>0</v>
      </c>
      <c r="E65" s="300">
        <f t="shared" si="0"/>
        <v>0</v>
      </c>
      <c r="F65" s="301">
        <v>0</v>
      </c>
      <c r="G65" s="236">
        <v>0</v>
      </c>
      <c r="H65" s="300">
        <f t="shared" si="1"/>
        <v>0</v>
      </c>
      <c r="K65" s="300">
        <f t="shared" si="2"/>
        <v>0</v>
      </c>
      <c r="N65" s="300">
        <f t="shared" si="3"/>
        <v>0</v>
      </c>
    </row>
    <row r="66" spans="1:14" x14ac:dyDescent="0.25">
      <c r="A66" s="111">
        <v>64</v>
      </c>
      <c r="B66" s="110" t="s">
        <v>160</v>
      </c>
      <c r="C66" s="382">
        <v>0</v>
      </c>
      <c r="D66" s="385">
        <v>0</v>
      </c>
      <c r="E66" s="300">
        <f t="shared" si="0"/>
        <v>0</v>
      </c>
      <c r="F66" s="301">
        <v>0</v>
      </c>
      <c r="G66" s="236">
        <v>0</v>
      </c>
      <c r="H66" s="300">
        <f t="shared" si="1"/>
        <v>0</v>
      </c>
      <c r="K66" s="300">
        <f t="shared" si="2"/>
        <v>0</v>
      </c>
      <c r="N66" s="300">
        <f t="shared" si="3"/>
        <v>0</v>
      </c>
    </row>
    <row r="67" spans="1:14" x14ac:dyDescent="0.25">
      <c r="A67" s="111">
        <v>65</v>
      </c>
      <c r="B67" s="110" t="s">
        <v>159</v>
      </c>
      <c r="C67" s="382">
        <v>0</v>
      </c>
      <c r="D67" s="385">
        <v>0</v>
      </c>
      <c r="E67" s="300">
        <f t="shared" si="0"/>
        <v>0</v>
      </c>
      <c r="F67" s="301">
        <v>0</v>
      </c>
      <c r="G67" s="236">
        <v>0</v>
      </c>
      <c r="H67" s="300">
        <f t="shared" si="1"/>
        <v>0</v>
      </c>
      <c r="K67" s="300">
        <f t="shared" si="2"/>
        <v>0</v>
      </c>
      <c r="N67" s="300">
        <f t="shared" si="3"/>
        <v>0</v>
      </c>
    </row>
    <row r="68" spans="1:14" x14ac:dyDescent="0.25">
      <c r="A68" s="111">
        <v>66</v>
      </c>
      <c r="B68" s="110" t="s">
        <v>158</v>
      </c>
      <c r="C68" s="382">
        <v>0</v>
      </c>
      <c r="D68" s="385">
        <v>0</v>
      </c>
      <c r="E68" s="300">
        <f t="shared" ref="E68:E101" si="4">C68+D68</f>
        <v>0</v>
      </c>
      <c r="F68" s="301">
        <v>0</v>
      </c>
      <c r="G68" s="236">
        <v>0</v>
      </c>
      <c r="H68" s="300">
        <f t="shared" ref="H68:H101" si="5">F68+G68</f>
        <v>0</v>
      </c>
      <c r="K68" s="300">
        <f t="shared" ref="K68:K101" si="6">I68+J68</f>
        <v>0</v>
      </c>
      <c r="N68" s="300">
        <f t="shared" ref="N68:N101" si="7">L68+M68</f>
        <v>0</v>
      </c>
    </row>
    <row r="69" spans="1:14" x14ac:dyDescent="0.25">
      <c r="A69" s="111">
        <v>67</v>
      </c>
      <c r="B69" s="110" t="s">
        <v>157</v>
      </c>
      <c r="C69" s="382">
        <v>0</v>
      </c>
      <c r="D69" s="385">
        <v>0</v>
      </c>
      <c r="E69" s="300">
        <f t="shared" si="4"/>
        <v>0</v>
      </c>
      <c r="F69" s="301">
        <v>0</v>
      </c>
      <c r="G69" s="236">
        <v>0</v>
      </c>
      <c r="H69" s="300">
        <f t="shared" si="5"/>
        <v>0</v>
      </c>
      <c r="K69" s="300">
        <f t="shared" si="6"/>
        <v>0</v>
      </c>
      <c r="N69" s="300">
        <f t="shared" si="7"/>
        <v>0</v>
      </c>
    </row>
    <row r="70" spans="1:14" x14ac:dyDescent="0.25">
      <c r="A70" s="111">
        <v>68</v>
      </c>
      <c r="B70" s="110" t="s">
        <v>156</v>
      </c>
      <c r="C70" s="382">
        <v>0</v>
      </c>
      <c r="D70" s="385">
        <v>0</v>
      </c>
      <c r="E70" s="300">
        <f t="shared" si="4"/>
        <v>0</v>
      </c>
      <c r="F70" s="301">
        <v>0</v>
      </c>
      <c r="G70" s="236">
        <v>0</v>
      </c>
      <c r="H70" s="300">
        <f t="shared" si="5"/>
        <v>0</v>
      </c>
      <c r="K70" s="300">
        <f t="shared" si="6"/>
        <v>0</v>
      </c>
      <c r="N70" s="300">
        <f t="shared" si="7"/>
        <v>0</v>
      </c>
    </row>
    <row r="71" spans="1:14" x14ac:dyDescent="0.25">
      <c r="A71" s="111">
        <v>69</v>
      </c>
      <c r="B71" s="110" t="s">
        <v>155</v>
      </c>
      <c r="C71" s="382">
        <v>0</v>
      </c>
      <c r="D71" s="385">
        <v>0</v>
      </c>
      <c r="E71" s="300">
        <f t="shared" si="4"/>
        <v>0</v>
      </c>
      <c r="F71" s="301">
        <v>0</v>
      </c>
      <c r="G71" s="236">
        <v>0</v>
      </c>
      <c r="H71" s="300">
        <f t="shared" si="5"/>
        <v>0</v>
      </c>
      <c r="K71" s="300">
        <f t="shared" si="6"/>
        <v>0</v>
      </c>
      <c r="N71" s="300">
        <f t="shared" si="7"/>
        <v>0</v>
      </c>
    </row>
    <row r="72" spans="1:14" x14ac:dyDescent="0.25">
      <c r="A72" s="111">
        <v>70</v>
      </c>
      <c r="B72" s="110" t="s">
        <v>154</v>
      </c>
      <c r="C72" s="382">
        <v>0</v>
      </c>
      <c r="D72" s="385">
        <v>0</v>
      </c>
      <c r="E72" s="300">
        <f t="shared" si="4"/>
        <v>0</v>
      </c>
      <c r="F72" s="301">
        <v>0</v>
      </c>
      <c r="G72" s="236">
        <v>0</v>
      </c>
      <c r="H72" s="300">
        <f t="shared" si="5"/>
        <v>0</v>
      </c>
      <c r="K72" s="300">
        <f t="shared" si="6"/>
        <v>0</v>
      </c>
      <c r="N72" s="300">
        <f t="shared" si="7"/>
        <v>0</v>
      </c>
    </row>
    <row r="73" spans="1:14" x14ac:dyDescent="0.25">
      <c r="A73" s="111">
        <v>71</v>
      </c>
      <c r="B73" s="110" t="s">
        <v>153</v>
      </c>
      <c r="C73" s="382">
        <v>0</v>
      </c>
      <c r="D73" s="385">
        <v>0</v>
      </c>
      <c r="E73" s="300">
        <f t="shared" si="4"/>
        <v>0</v>
      </c>
      <c r="F73" s="301">
        <v>0</v>
      </c>
      <c r="G73" s="236">
        <v>0</v>
      </c>
      <c r="H73" s="300">
        <f t="shared" si="5"/>
        <v>0</v>
      </c>
      <c r="K73" s="300">
        <f t="shared" si="6"/>
        <v>0</v>
      </c>
      <c r="N73" s="300">
        <f t="shared" si="7"/>
        <v>0</v>
      </c>
    </row>
    <row r="74" spans="1:14" x14ac:dyDescent="0.25">
      <c r="A74" s="111">
        <v>72</v>
      </c>
      <c r="B74" s="110" t="s">
        <v>152</v>
      </c>
      <c r="C74" s="382">
        <v>0</v>
      </c>
      <c r="D74" s="385">
        <v>0</v>
      </c>
      <c r="E74" s="300">
        <f t="shared" si="4"/>
        <v>0</v>
      </c>
      <c r="F74" s="301">
        <v>0</v>
      </c>
      <c r="G74" s="236">
        <v>0</v>
      </c>
      <c r="H74" s="300">
        <f t="shared" si="5"/>
        <v>0</v>
      </c>
      <c r="K74" s="300">
        <f t="shared" si="6"/>
        <v>0</v>
      </c>
      <c r="N74" s="300">
        <f t="shared" si="7"/>
        <v>0</v>
      </c>
    </row>
    <row r="75" spans="1:14" x14ac:dyDescent="0.25">
      <c r="A75" s="111">
        <v>73</v>
      </c>
      <c r="B75" s="110" t="s">
        <v>151</v>
      </c>
      <c r="C75" s="382">
        <v>0</v>
      </c>
      <c r="D75" s="385">
        <v>0</v>
      </c>
      <c r="E75" s="300">
        <f t="shared" si="4"/>
        <v>0</v>
      </c>
      <c r="F75" s="301">
        <v>0</v>
      </c>
      <c r="G75" s="236">
        <v>0</v>
      </c>
      <c r="H75" s="300">
        <f t="shared" si="5"/>
        <v>0</v>
      </c>
      <c r="K75" s="300">
        <f t="shared" si="6"/>
        <v>0</v>
      </c>
      <c r="N75" s="300">
        <f t="shared" si="7"/>
        <v>0</v>
      </c>
    </row>
    <row r="76" spans="1:14" x14ac:dyDescent="0.25">
      <c r="A76" s="111">
        <v>74</v>
      </c>
      <c r="B76" s="110" t="s">
        <v>150</v>
      </c>
      <c r="C76" s="382">
        <v>0</v>
      </c>
      <c r="D76" s="385">
        <v>0</v>
      </c>
      <c r="E76" s="300">
        <f t="shared" si="4"/>
        <v>0</v>
      </c>
      <c r="F76" s="301">
        <v>0</v>
      </c>
      <c r="G76" s="236">
        <v>0</v>
      </c>
      <c r="H76" s="300">
        <f t="shared" si="5"/>
        <v>0</v>
      </c>
      <c r="K76" s="300">
        <f t="shared" si="6"/>
        <v>0</v>
      </c>
      <c r="N76" s="300">
        <f t="shared" si="7"/>
        <v>0</v>
      </c>
    </row>
    <row r="77" spans="1:14" x14ac:dyDescent="0.25">
      <c r="A77" s="111">
        <v>75</v>
      </c>
      <c r="B77" s="110" t="s">
        <v>149</v>
      </c>
      <c r="C77" s="382">
        <v>0</v>
      </c>
      <c r="D77" s="385">
        <v>0</v>
      </c>
      <c r="E77" s="300">
        <f t="shared" si="4"/>
        <v>0</v>
      </c>
      <c r="F77" s="301">
        <v>0</v>
      </c>
      <c r="G77" s="236">
        <v>0</v>
      </c>
      <c r="H77" s="300">
        <f t="shared" si="5"/>
        <v>0</v>
      </c>
      <c r="K77" s="300">
        <f t="shared" si="6"/>
        <v>0</v>
      </c>
      <c r="N77" s="300">
        <f t="shared" si="7"/>
        <v>0</v>
      </c>
    </row>
    <row r="78" spans="1:14" x14ac:dyDescent="0.25">
      <c r="A78" s="111">
        <v>76</v>
      </c>
      <c r="B78" s="110" t="s">
        <v>148</v>
      </c>
      <c r="C78" s="382">
        <v>0</v>
      </c>
      <c r="D78" s="385">
        <v>0</v>
      </c>
      <c r="E78" s="300">
        <f t="shared" si="4"/>
        <v>0</v>
      </c>
      <c r="F78" s="301">
        <v>0</v>
      </c>
      <c r="G78" s="236">
        <v>0</v>
      </c>
      <c r="H78" s="300">
        <f t="shared" si="5"/>
        <v>0</v>
      </c>
      <c r="K78" s="300">
        <f t="shared" si="6"/>
        <v>0</v>
      </c>
      <c r="N78" s="300">
        <f t="shared" si="7"/>
        <v>0</v>
      </c>
    </row>
    <row r="79" spans="1:14" x14ac:dyDescent="0.25">
      <c r="A79" s="111">
        <v>77</v>
      </c>
      <c r="B79" s="110" t="s">
        <v>147</v>
      </c>
      <c r="C79" s="382">
        <v>0</v>
      </c>
      <c r="D79" s="385">
        <v>0</v>
      </c>
      <c r="E79" s="300">
        <f t="shared" si="4"/>
        <v>0</v>
      </c>
      <c r="F79" s="301">
        <v>0</v>
      </c>
      <c r="G79" s="236">
        <v>0</v>
      </c>
      <c r="H79" s="300">
        <f t="shared" si="5"/>
        <v>0</v>
      </c>
      <c r="K79" s="300">
        <f t="shared" si="6"/>
        <v>0</v>
      </c>
      <c r="N79" s="300">
        <f t="shared" si="7"/>
        <v>0</v>
      </c>
    </row>
    <row r="80" spans="1:14" x14ac:dyDescent="0.25">
      <c r="A80" s="111">
        <v>78</v>
      </c>
      <c r="B80" s="110" t="s">
        <v>146</v>
      </c>
      <c r="C80" s="382">
        <v>0</v>
      </c>
      <c r="D80" s="385">
        <v>0</v>
      </c>
      <c r="E80" s="300">
        <f t="shared" si="4"/>
        <v>0</v>
      </c>
      <c r="F80" s="301">
        <v>0</v>
      </c>
      <c r="G80" s="236">
        <v>0</v>
      </c>
      <c r="H80" s="300">
        <f t="shared" si="5"/>
        <v>0</v>
      </c>
      <c r="K80" s="300">
        <f t="shared" si="6"/>
        <v>0</v>
      </c>
      <c r="N80" s="300">
        <f t="shared" si="7"/>
        <v>0</v>
      </c>
    </row>
    <row r="81" spans="1:14" x14ac:dyDescent="0.25">
      <c r="A81" s="111">
        <v>79</v>
      </c>
      <c r="B81" s="110" t="s">
        <v>145</v>
      </c>
      <c r="C81" s="382">
        <v>0</v>
      </c>
      <c r="D81" s="385">
        <v>13745</v>
      </c>
      <c r="E81" s="300">
        <f t="shared" si="4"/>
        <v>13745</v>
      </c>
      <c r="F81" s="301">
        <v>0</v>
      </c>
      <c r="G81" s="236">
        <v>0</v>
      </c>
      <c r="H81" s="300">
        <f t="shared" si="5"/>
        <v>0</v>
      </c>
      <c r="K81" s="300">
        <f t="shared" si="6"/>
        <v>0</v>
      </c>
      <c r="N81" s="300">
        <f t="shared" si="7"/>
        <v>0</v>
      </c>
    </row>
    <row r="82" spans="1:14" x14ac:dyDescent="0.25">
      <c r="A82" s="111">
        <v>80</v>
      </c>
      <c r="B82" s="110" t="s">
        <v>144</v>
      </c>
      <c r="C82" s="382">
        <v>0</v>
      </c>
      <c r="D82" s="385">
        <v>0</v>
      </c>
      <c r="E82" s="300">
        <f t="shared" si="4"/>
        <v>0</v>
      </c>
      <c r="F82" s="301">
        <v>0</v>
      </c>
      <c r="G82" s="236">
        <v>0</v>
      </c>
      <c r="H82" s="300">
        <f t="shared" si="5"/>
        <v>0</v>
      </c>
      <c r="K82" s="300">
        <f t="shared" si="6"/>
        <v>0</v>
      </c>
      <c r="N82" s="300">
        <f t="shared" si="7"/>
        <v>0</v>
      </c>
    </row>
    <row r="83" spans="1:14" x14ac:dyDescent="0.25">
      <c r="A83" s="111">
        <v>81</v>
      </c>
      <c r="B83" s="110" t="s">
        <v>143</v>
      </c>
      <c r="C83" s="382">
        <v>0</v>
      </c>
      <c r="D83" s="385">
        <v>0</v>
      </c>
      <c r="E83" s="300">
        <f t="shared" si="4"/>
        <v>0</v>
      </c>
      <c r="F83" s="301">
        <v>0</v>
      </c>
      <c r="G83" s="236">
        <v>0</v>
      </c>
      <c r="H83" s="300">
        <f t="shared" si="5"/>
        <v>0</v>
      </c>
      <c r="K83" s="300">
        <f t="shared" si="6"/>
        <v>0</v>
      </c>
      <c r="N83" s="300">
        <f t="shared" si="7"/>
        <v>0</v>
      </c>
    </row>
    <row r="84" spans="1:14" x14ac:dyDescent="0.25">
      <c r="A84" s="111">
        <v>82</v>
      </c>
      <c r="B84" s="110" t="s">
        <v>142</v>
      </c>
      <c r="C84" s="382">
        <v>0</v>
      </c>
      <c r="D84" s="385">
        <v>778.46</v>
      </c>
      <c r="E84" s="300">
        <f t="shared" si="4"/>
        <v>778.46</v>
      </c>
      <c r="F84" s="301">
        <v>0</v>
      </c>
      <c r="G84" s="236">
        <v>0</v>
      </c>
      <c r="H84" s="300">
        <f t="shared" si="5"/>
        <v>0</v>
      </c>
      <c r="K84" s="300">
        <f t="shared" si="6"/>
        <v>0</v>
      </c>
      <c r="N84" s="300">
        <f t="shared" si="7"/>
        <v>0</v>
      </c>
    </row>
    <row r="85" spans="1:14" x14ac:dyDescent="0.25">
      <c r="A85" s="111">
        <v>83</v>
      </c>
      <c r="B85" s="110" t="s">
        <v>141</v>
      </c>
      <c r="C85" s="382">
        <v>0</v>
      </c>
      <c r="D85" s="385">
        <v>0</v>
      </c>
      <c r="E85" s="300">
        <f t="shared" si="4"/>
        <v>0</v>
      </c>
      <c r="F85" s="301">
        <v>0</v>
      </c>
      <c r="G85" s="236">
        <v>0</v>
      </c>
      <c r="H85" s="300">
        <f t="shared" si="5"/>
        <v>0</v>
      </c>
      <c r="K85" s="300">
        <f t="shared" si="6"/>
        <v>0</v>
      </c>
      <c r="N85" s="300">
        <f t="shared" si="7"/>
        <v>0</v>
      </c>
    </row>
    <row r="86" spans="1:14" x14ac:dyDescent="0.25">
      <c r="A86" s="111">
        <v>84</v>
      </c>
      <c r="B86" s="110" t="s">
        <v>140</v>
      </c>
      <c r="C86" s="382">
        <v>0</v>
      </c>
      <c r="D86" s="385">
        <v>0</v>
      </c>
      <c r="E86" s="300">
        <f t="shared" si="4"/>
        <v>0</v>
      </c>
      <c r="F86" s="301">
        <v>0</v>
      </c>
      <c r="G86" s="236">
        <v>0</v>
      </c>
      <c r="H86" s="300">
        <f t="shared" si="5"/>
        <v>0</v>
      </c>
      <c r="K86" s="300">
        <f t="shared" si="6"/>
        <v>0</v>
      </c>
      <c r="N86" s="300">
        <f t="shared" si="7"/>
        <v>0</v>
      </c>
    </row>
    <row r="87" spans="1:14" x14ac:dyDescent="0.25">
      <c r="A87" s="111">
        <v>85</v>
      </c>
      <c r="B87" s="110" t="s">
        <v>139</v>
      </c>
      <c r="C87" s="382">
        <v>0</v>
      </c>
      <c r="D87" s="385">
        <v>0</v>
      </c>
      <c r="E87" s="300">
        <f t="shared" si="4"/>
        <v>0</v>
      </c>
      <c r="F87" s="301">
        <v>0</v>
      </c>
      <c r="G87" s="236">
        <v>0</v>
      </c>
      <c r="H87" s="300">
        <f t="shared" si="5"/>
        <v>0</v>
      </c>
      <c r="K87" s="300">
        <f t="shared" si="6"/>
        <v>0</v>
      </c>
      <c r="N87" s="300">
        <f t="shared" si="7"/>
        <v>0</v>
      </c>
    </row>
    <row r="88" spans="1:14" x14ac:dyDescent="0.25">
      <c r="A88" s="111">
        <v>86</v>
      </c>
      <c r="B88" s="110" t="s">
        <v>138</v>
      </c>
      <c r="C88" s="382">
        <v>0</v>
      </c>
      <c r="D88" s="385">
        <v>0</v>
      </c>
      <c r="E88" s="300">
        <f t="shared" si="4"/>
        <v>0</v>
      </c>
      <c r="F88" s="301">
        <v>0</v>
      </c>
      <c r="G88" s="236">
        <v>0</v>
      </c>
      <c r="H88" s="300">
        <f t="shared" si="5"/>
        <v>0</v>
      </c>
      <c r="K88" s="300">
        <f t="shared" si="6"/>
        <v>0</v>
      </c>
      <c r="N88" s="300">
        <f t="shared" si="7"/>
        <v>0</v>
      </c>
    </row>
    <row r="89" spans="1:14" x14ac:dyDescent="0.25">
      <c r="A89" s="111">
        <v>87</v>
      </c>
      <c r="B89" s="110" t="s">
        <v>137</v>
      </c>
      <c r="C89" s="382">
        <v>0</v>
      </c>
      <c r="D89" s="385">
        <v>0</v>
      </c>
      <c r="E89" s="300">
        <f t="shared" si="4"/>
        <v>0</v>
      </c>
      <c r="F89" s="301">
        <v>0</v>
      </c>
      <c r="G89" s="236">
        <v>0</v>
      </c>
      <c r="H89" s="300">
        <f t="shared" si="5"/>
        <v>0</v>
      </c>
      <c r="K89" s="300">
        <f t="shared" si="6"/>
        <v>0</v>
      </c>
      <c r="N89" s="300">
        <f t="shared" si="7"/>
        <v>0</v>
      </c>
    </row>
    <row r="90" spans="1:14" x14ac:dyDescent="0.25">
      <c r="A90" s="111">
        <v>88</v>
      </c>
      <c r="B90" s="110" t="s">
        <v>136</v>
      </c>
      <c r="C90" s="382">
        <v>0</v>
      </c>
      <c r="D90" s="385">
        <v>0</v>
      </c>
      <c r="E90" s="300">
        <f t="shared" si="4"/>
        <v>0</v>
      </c>
      <c r="F90" s="301">
        <v>0</v>
      </c>
      <c r="G90" s="236">
        <v>0</v>
      </c>
      <c r="H90" s="300">
        <f t="shared" si="5"/>
        <v>0</v>
      </c>
      <c r="K90" s="300">
        <f t="shared" si="6"/>
        <v>0</v>
      </c>
      <c r="N90" s="300">
        <f t="shared" si="7"/>
        <v>0</v>
      </c>
    </row>
    <row r="91" spans="1:14" x14ac:dyDescent="0.25">
      <c r="A91" s="111">
        <v>89</v>
      </c>
      <c r="B91" s="110" t="s">
        <v>135</v>
      </c>
      <c r="C91" s="382">
        <v>0</v>
      </c>
      <c r="D91" s="385">
        <v>171.46</v>
      </c>
      <c r="E91" s="300">
        <f t="shared" si="4"/>
        <v>171.46</v>
      </c>
      <c r="F91" s="301">
        <v>0</v>
      </c>
      <c r="G91" s="236">
        <v>0</v>
      </c>
      <c r="H91" s="300">
        <f t="shared" si="5"/>
        <v>0</v>
      </c>
      <c r="K91" s="300">
        <f t="shared" si="6"/>
        <v>0</v>
      </c>
      <c r="N91" s="300">
        <f t="shared" si="7"/>
        <v>0</v>
      </c>
    </row>
    <row r="92" spans="1:14" x14ac:dyDescent="0.25">
      <c r="A92" s="111">
        <v>90</v>
      </c>
      <c r="B92" s="110" t="s">
        <v>134</v>
      </c>
      <c r="C92" s="382">
        <v>0</v>
      </c>
      <c r="D92" s="385">
        <v>0</v>
      </c>
      <c r="E92" s="300">
        <f t="shared" si="4"/>
        <v>0</v>
      </c>
      <c r="F92" s="301">
        <v>0</v>
      </c>
      <c r="G92" s="236">
        <v>0</v>
      </c>
      <c r="H92" s="300">
        <f t="shared" si="5"/>
        <v>0</v>
      </c>
      <c r="K92" s="300">
        <f t="shared" si="6"/>
        <v>0</v>
      </c>
      <c r="N92" s="300">
        <f t="shared" si="7"/>
        <v>0</v>
      </c>
    </row>
    <row r="93" spans="1:14" x14ac:dyDescent="0.25">
      <c r="A93" s="111">
        <v>91</v>
      </c>
      <c r="B93" s="110" t="s">
        <v>133</v>
      </c>
      <c r="C93" s="382">
        <v>0</v>
      </c>
      <c r="D93" s="385">
        <v>0</v>
      </c>
      <c r="E93" s="300">
        <f t="shared" si="4"/>
        <v>0</v>
      </c>
      <c r="F93" s="301">
        <v>0</v>
      </c>
      <c r="G93" s="236">
        <v>0</v>
      </c>
      <c r="H93" s="300">
        <f t="shared" si="5"/>
        <v>0</v>
      </c>
      <c r="K93" s="300">
        <f t="shared" si="6"/>
        <v>0</v>
      </c>
      <c r="N93" s="300">
        <f t="shared" si="7"/>
        <v>0</v>
      </c>
    </row>
    <row r="94" spans="1:14" x14ac:dyDescent="0.25">
      <c r="A94" s="111">
        <v>92</v>
      </c>
      <c r="B94" s="110" t="s">
        <v>132</v>
      </c>
      <c r="C94" s="382">
        <v>0</v>
      </c>
      <c r="D94" s="385">
        <v>0</v>
      </c>
      <c r="E94" s="300">
        <f t="shared" si="4"/>
        <v>0</v>
      </c>
      <c r="F94" s="301">
        <v>0</v>
      </c>
      <c r="G94" s="236">
        <v>0</v>
      </c>
      <c r="H94" s="300">
        <f t="shared" si="5"/>
        <v>0</v>
      </c>
      <c r="K94" s="300">
        <f t="shared" si="6"/>
        <v>0</v>
      </c>
      <c r="N94" s="300">
        <f t="shared" si="7"/>
        <v>0</v>
      </c>
    </row>
    <row r="95" spans="1:14" x14ac:dyDescent="0.25">
      <c r="A95" s="111">
        <v>93</v>
      </c>
      <c r="B95" s="110" t="s">
        <v>131</v>
      </c>
      <c r="C95" s="382">
        <v>0</v>
      </c>
      <c r="D95" s="385">
        <v>0</v>
      </c>
      <c r="E95" s="300">
        <f t="shared" si="4"/>
        <v>0</v>
      </c>
      <c r="F95" s="301">
        <v>0</v>
      </c>
      <c r="G95" s="236">
        <v>0</v>
      </c>
      <c r="H95" s="300">
        <f t="shared" si="5"/>
        <v>0</v>
      </c>
      <c r="K95" s="300">
        <f t="shared" si="6"/>
        <v>0</v>
      </c>
      <c r="N95" s="300">
        <f t="shared" si="7"/>
        <v>0</v>
      </c>
    </row>
    <row r="96" spans="1:14" x14ac:dyDescent="0.25">
      <c r="A96" s="111">
        <v>94</v>
      </c>
      <c r="B96" s="110" t="s">
        <v>130</v>
      </c>
      <c r="C96" s="382">
        <v>0</v>
      </c>
      <c r="D96" s="385">
        <v>0</v>
      </c>
      <c r="E96" s="300">
        <f t="shared" si="4"/>
        <v>0</v>
      </c>
      <c r="F96" s="301">
        <v>0</v>
      </c>
      <c r="G96" s="236">
        <v>0</v>
      </c>
      <c r="H96" s="300">
        <f t="shared" si="5"/>
        <v>0</v>
      </c>
      <c r="K96" s="300">
        <f t="shared" si="6"/>
        <v>0</v>
      </c>
      <c r="N96" s="300">
        <f t="shared" si="7"/>
        <v>0</v>
      </c>
    </row>
    <row r="97" spans="1:14" x14ac:dyDescent="0.25">
      <c r="A97" s="111">
        <v>95</v>
      </c>
      <c r="B97" s="110" t="s">
        <v>129</v>
      </c>
      <c r="C97" s="382">
        <v>0</v>
      </c>
      <c r="D97" s="385">
        <v>0</v>
      </c>
      <c r="E97" s="300">
        <f t="shared" si="4"/>
        <v>0</v>
      </c>
      <c r="F97" s="301">
        <v>0</v>
      </c>
      <c r="G97" s="236">
        <v>0</v>
      </c>
      <c r="H97" s="300">
        <f t="shared" si="5"/>
        <v>0</v>
      </c>
      <c r="K97" s="300">
        <f t="shared" si="6"/>
        <v>0</v>
      </c>
      <c r="N97" s="300">
        <f t="shared" si="7"/>
        <v>0</v>
      </c>
    </row>
    <row r="98" spans="1:14" x14ac:dyDescent="0.25">
      <c r="A98" s="111">
        <v>96</v>
      </c>
      <c r="B98" s="110" t="s">
        <v>128</v>
      </c>
      <c r="C98" s="382">
        <v>0</v>
      </c>
      <c r="D98" s="385">
        <v>0</v>
      </c>
      <c r="E98" s="300">
        <f t="shared" si="4"/>
        <v>0</v>
      </c>
      <c r="F98" s="301">
        <v>0</v>
      </c>
      <c r="G98" s="236">
        <v>0</v>
      </c>
      <c r="H98" s="300">
        <f t="shared" si="5"/>
        <v>0</v>
      </c>
      <c r="K98" s="300">
        <f t="shared" si="6"/>
        <v>0</v>
      </c>
      <c r="N98" s="300">
        <f t="shared" si="7"/>
        <v>0</v>
      </c>
    </row>
    <row r="99" spans="1:14" x14ac:dyDescent="0.25">
      <c r="A99" s="111">
        <v>97</v>
      </c>
      <c r="B99" s="110" t="s">
        <v>127</v>
      </c>
      <c r="C99" s="382">
        <v>0</v>
      </c>
      <c r="D99" s="385">
        <v>0</v>
      </c>
      <c r="E99" s="300">
        <f t="shared" si="4"/>
        <v>0</v>
      </c>
      <c r="F99" s="301">
        <v>0</v>
      </c>
      <c r="G99" s="236">
        <v>0</v>
      </c>
      <c r="H99" s="300">
        <f t="shared" si="5"/>
        <v>0</v>
      </c>
      <c r="K99" s="300">
        <f t="shared" si="6"/>
        <v>0</v>
      </c>
      <c r="N99" s="300">
        <f t="shared" si="7"/>
        <v>0</v>
      </c>
    </row>
    <row r="100" spans="1:14" x14ac:dyDescent="0.25">
      <c r="A100" s="111">
        <v>98</v>
      </c>
      <c r="B100" s="110" t="s">
        <v>126</v>
      </c>
      <c r="C100" s="382">
        <v>0</v>
      </c>
      <c r="D100" s="385">
        <v>0</v>
      </c>
      <c r="E100" s="300">
        <f t="shared" si="4"/>
        <v>0</v>
      </c>
      <c r="F100" s="301">
        <v>0</v>
      </c>
      <c r="G100" s="236">
        <v>0</v>
      </c>
      <c r="H100" s="300">
        <f t="shared" si="5"/>
        <v>0</v>
      </c>
      <c r="K100" s="300">
        <f t="shared" si="6"/>
        <v>0</v>
      </c>
      <c r="N100" s="300">
        <f t="shared" si="7"/>
        <v>0</v>
      </c>
    </row>
    <row r="101" spans="1:14" x14ac:dyDescent="0.25">
      <c r="A101" s="111">
        <v>99</v>
      </c>
      <c r="B101" s="110" t="s">
        <v>125</v>
      </c>
      <c r="C101" s="382">
        <v>0</v>
      </c>
      <c r="D101" s="385">
        <v>0</v>
      </c>
      <c r="E101" s="300">
        <f t="shared" si="4"/>
        <v>0</v>
      </c>
      <c r="F101" s="301">
        <v>0</v>
      </c>
      <c r="G101" s="236">
        <v>0</v>
      </c>
      <c r="H101" s="300">
        <f t="shared" si="5"/>
        <v>0</v>
      </c>
      <c r="K101" s="300">
        <f t="shared" si="6"/>
        <v>0</v>
      </c>
      <c r="N101" s="300">
        <f t="shared" si="7"/>
        <v>0</v>
      </c>
    </row>
    <row r="102" spans="1:14" x14ac:dyDescent="0.25">
      <c r="A102" s="107"/>
      <c r="B102" s="304"/>
      <c r="C102" s="292">
        <f t="shared" ref="C102:E102" si="8">SUM(C3:C101)</f>
        <v>0</v>
      </c>
      <c r="D102" s="288">
        <f t="shared" si="8"/>
        <v>14694.919999999998</v>
      </c>
      <c r="E102" s="296">
        <f t="shared" si="8"/>
        <v>14694.919999999998</v>
      </c>
      <c r="F102" s="292">
        <f t="shared" ref="F102:G102" si="9">SUM(F3:F101)</f>
        <v>0</v>
      </c>
      <c r="G102" s="408">
        <f t="shared" si="9"/>
        <v>1969</v>
      </c>
      <c r="H102" s="296">
        <f t="shared" ref="H102:N102" si="10">SUM(H3:H101)</f>
        <v>1969</v>
      </c>
      <c r="I102" s="292">
        <f t="shared" si="10"/>
        <v>0</v>
      </c>
      <c r="J102" s="288">
        <f t="shared" si="10"/>
        <v>0</v>
      </c>
      <c r="K102" s="296">
        <f t="shared" si="10"/>
        <v>0</v>
      </c>
      <c r="L102" s="292">
        <f t="shared" si="10"/>
        <v>0</v>
      </c>
      <c r="M102" s="288">
        <f t="shared" si="10"/>
        <v>0</v>
      </c>
      <c r="N102" s="296">
        <f t="shared" si="10"/>
        <v>0</v>
      </c>
    </row>
    <row r="103" spans="1:14" x14ac:dyDescent="0.25">
      <c r="A103" s="383" t="s">
        <v>257</v>
      </c>
      <c r="B103" s="237" t="s">
        <v>256</v>
      </c>
      <c r="C103" s="301">
        <v>0</v>
      </c>
      <c r="D103" s="129">
        <v>0</v>
      </c>
      <c r="E103" s="300">
        <f>C103+D103</f>
        <v>0</v>
      </c>
      <c r="F103" s="301">
        <v>0</v>
      </c>
      <c r="G103" s="236">
        <v>0</v>
      </c>
      <c r="H103" s="300">
        <f>F103+G103</f>
        <v>0</v>
      </c>
      <c r="K103" s="300">
        <f>I103+J103</f>
        <v>0</v>
      </c>
      <c r="L103" s="315"/>
      <c r="M103" s="236"/>
      <c r="N103" s="300">
        <f>L103+M103</f>
        <v>0</v>
      </c>
    </row>
    <row r="104" spans="1:14" x14ac:dyDescent="0.25">
      <c r="A104" s="107"/>
      <c r="B104" s="235" t="s">
        <v>231</v>
      </c>
      <c r="C104" s="292">
        <f t="shared" ref="C104:N104" si="11">C102+C103</f>
        <v>0</v>
      </c>
      <c r="D104" s="288">
        <f t="shared" si="11"/>
        <v>14694.919999999998</v>
      </c>
      <c r="E104" s="296">
        <f t="shared" si="11"/>
        <v>14694.919999999998</v>
      </c>
      <c r="F104" s="292">
        <f t="shared" si="11"/>
        <v>0</v>
      </c>
      <c r="G104" s="288">
        <f t="shared" si="11"/>
        <v>1969</v>
      </c>
      <c r="H104" s="296">
        <f t="shared" si="11"/>
        <v>1969</v>
      </c>
      <c r="I104" s="292">
        <f t="shared" si="11"/>
        <v>0</v>
      </c>
      <c r="J104" s="288">
        <f t="shared" si="11"/>
        <v>0</v>
      </c>
      <c r="K104" s="296">
        <f t="shared" si="11"/>
        <v>0</v>
      </c>
      <c r="L104" s="292">
        <f t="shared" si="11"/>
        <v>0</v>
      </c>
      <c r="M104" s="288">
        <f t="shared" si="11"/>
        <v>0</v>
      </c>
      <c r="N104" s="296">
        <f t="shared" si="11"/>
        <v>0</v>
      </c>
    </row>
    <row r="105" spans="1:14" x14ac:dyDescent="0.25">
      <c r="A105" s="107"/>
      <c r="B105" s="235" t="s">
        <v>305</v>
      </c>
      <c r="C105" s="293">
        <v>0</v>
      </c>
      <c r="D105" s="289">
        <v>14694.92</v>
      </c>
      <c r="E105" s="297">
        <f>C105+D105</f>
        <v>14694.92</v>
      </c>
      <c r="F105" s="293">
        <v>0</v>
      </c>
      <c r="G105" s="327">
        <v>1969</v>
      </c>
      <c r="H105" s="297">
        <f>F105+G105</f>
        <v>1969</v>
      </c>
      <c r="I105" s="293"/>
      <c r="J105" s="290"/>
      <c r="K105" s="297">
        <f>I105+J105</f>
        <v>0</v>
      </c>
      <c r="L105" s="293"/>
      <c r="M105" s="290"/>
      <c r="N105" s="297">
        <f>L105+M105</f>
        <v>0</v>
      </c>
    </row>
    <row r="106" spans="1:14" x14ac:dyDescent="0.25">
      <c r="B106" s="235" t="s">
        <v>259</v>
      </c>
      <c r="C106" s="294">
        <f>C104-C105</f>
        <v>0</v>
      </c>
      <c r="D106" s="243">
        <f>D104-D105</f>
        <v>0</v>
      </c>
      <c r="F106" s="294">
        <f>F104-F105</f>
        <v>0</v>
      </c>
      <c r="G106" s="369">
        <f>G104-G105</f>
        <v>0</v>
      </c>
      <c r="I106" s="298">
        <f t="shared" ref="I106:J106" si="12">I104-I105</f>
        <v>0</v>
      </c>
      <c r="J106" s="299">
        <f t="shared" si="12"/>
        <v>0</v>
      </c>
      <c r="L106" s="298">
        <f>L104-L105</f>
        <v>0</v>
      </c>
      <c r="M106" s="299">
        <f>M104-M105</f>
        <v>0</v>
      </c>
    </row>
    <row r="107" spans="1:14" x14ac:dyDescent="0.25">
      <c r="C107" s="301"/>
      <c r="D107" s="129"/>
      <c r="G107" s="409"/>
    </row>
    <row r="108" spans="1:14" x14ac:dyDescent="0.25">
      <c r="C108" s="301"/>
      <c r="D108" s="129"/>
    </row>
    <row r="109" spans="1:14" x14ac:dyDescent="0.25">
      <c r="B109" t="s">
        <v>270</v>
      </c>
      <c r="C109" s="301"/>
      <c r="D109" s="129"/>
      <c r="E109" s="300">
        <f>E102</f>
        <v>14694.919999999998</v>
      </c>
      <c r="H109" s="300">
        <f>E109+H102</f>
        <v>16663.919999999998</v>
      </c>
      <c r="K109" s="300">
        <f>H109+K102</f>
        <v>16663.919999999998</v>
      </c>
      <c r="N109" s="300">
        <f>K109+N102</f>
        <v>16663.919999999998</v>
      </c>
    </row>
    <row r="110" spans="1:14" x14ac:dyDescent="0.25">
      <c r="C110" s="301"/>
      <c r="D110" s="129"/>
      <c r="E110" s="374" t="s">
        <v>307</v>
      </c>
      <c r="H110" s="374" t="s">
        <v>307</v>
      </c>
      <c r="K110" s="374" t="s">
        <v>307</v>
      </c>
      <c r="N110" s="374" t="s">
        <v>307</v>
      </c>
    </row>
  </sheetData>
  <mergeCells count="4">
    <mergeCell ref="F1:H1"/>
    <mergeCell ref="I1:K1"/>
    <mergeCell ref="L1:N1"/>
    <mergeCell ref="C1:E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380D8-ED1B-4727-B7A2-5A318E020BE8}">
  <dimension ref="A1:AF128"/>
  <sheetViews>
    <sheetView workbookViewId="0">
      <pane xSplit="2" ySplit="2" topLeftCell="C91" activePane="bottomRight" state="frozen"/>
      <selection pane="topRight" activeCell="C1" sqref="C1"/>
      <selection pane="bottomLeft" activeCell="A3" sqref="A3"/>
      <selection pane="bottomRight" activeCell="N107" sqref="N107"/>
    </sheetView>
  </sheetViews>
  <sheetFormatPr defaultRowHeight="15" x14ac:dyDescent="0.25"/>
  <cols>
    <col min="2" max="2" width="16.85546875" bestFit="1" customWidth="1"/>
    <col min="3" max="3" width="15.7109375" style="295" customWidth="1"/>
    <col min="4" max="4" width="15.28515625" style="61" customWidth="1"/>
    <col min="5" max="7" width="15.140625" style="61" customWidth="1"/>
    <col min="8" max="8" width="14.85546875" style="302" bestFit="1" customWidth="1"/>
    <col min="9" max="9" width="14.5703125" style="295" customWidth="1"/>
    <col min="10" max="13" width="14.5703125" style="61" customWidth="1"/>
    <col min="14" max="14" width="14.5703125" style="291" bestFit="1" customWidth="1"/>
    <col min="15" max="15" width="15.85546875" style="295" customWidth="1"/>
    <col min="16" max="16" width="15.85546875" style="61" customWidth="1"/>
    <col min="17" max="19" width="15.28515625" style="61" customWidth="1"/>
    <col min="20" max="20" width="15.5703125" style="291" customWidth="1"/>
    <col min="21" max="21" width="16.28515625" style="295" customWidth="1"/>
    <col min="22" max="25" width="16.28515625" style="61" customWidth="1"/>
    <col min="26" max="26" width="16.28515625" style="291" customWidth="1"/>
    <col min="27" max="27" width="13.28515625" customWidth="1"/>
    <col min="28" max="28" width="12.5703125" bestFit="1" customWidth="1"/>
    <col min="29" max="29" width="10.28515625" bestFit="1" customWidth="1"/>
    <col min="30" max="31" width="13.85546875" bestFit="1" customWidth="1"/>
  </cols>
  <sheetData>
    <row r="1" spans="1:32" x14ac:dyDescent="0.25">
      <c r="C1" s="537" t="s">
        <v>229</v>
      </c>
      <c r="D1" s="538"/>
      <c r="E1" s="538"/>
      <c r="F1" s="538"/>
      <c r="G1" s="538"/>
      <c r="H1" s="539"/>
      <c r="I1" s="537" t="s">
        <v>228</v>
      </c>
      <c r="J1" s="538"/>
      <c r="K1" s="538"/>
      <c r="L1" s="538"/>
      <c r="M1" s="538"/>
      <c r="N1" s="539"/>
      <c r="O1" s="534" t="s">
        <v>227</v>
      </c>
      <c r="P1" s="535"/>
      <c r="Q1" s="535"/>
      <c r="R1" s="535"/>
      <c r="S1" s="535"/>
      <c r="T1" s="536"/>
      <c r="U1" s="537" t="s">
        <v>226</v>
      </c>
      <c r="V1" s="538"/>
      <c r="W1" s="538"/>
      <c r="X1" s="538"/>
      <c r="Y1" s="538"/>
      <c r="Z1" s="539"/>
      <c r="AB1" s="242" t="s">
        <v>282</v>
      </c>
    </row>
    <row r="2" spans="1:32" ht="60" x14ac:dyDescent="0.25">
      <c r="A2" s="114" t="s">
        <v>225</v>
      </c>
      <c r="B2" s="335" t="s">
        <v>224</v>
      </c>
      <c r="C2" s="320" t="s">
        <v>275</v>
      </c>
      <c r="D2" s="308" t="s">
        <v>278</v>
      </c>
      <c r="E2" s="308" t="s">
        <v>276</v>
      </c>
      <c r="F2" s="308" t="s">
        <v>280</v>
      </c>
      <c r="G2" s="308" t="s">
        <v>281</v>
      </c>
      <c r="H2" s="309" t="s">
        <v>277</v>
      </c>
      <c r="I2" s="320" t="s">
        <v>275</v>
      </c>
      <c r="J2" s="308" t="s">
        <v>278</v>
      </c>
      <c r="K2" s="308" t="s">
        <v>276</v>
      </c>
      <c r="L2" s="308" t="s">
        <v>280</v>
      </c>
      <c r="M2" s="308" t="s">
        <v>281</v>
      </c>
      <c r="N2" s="309" t="s">
        <v>277</v>
      </c>
      <c r="O2" s="320" t="s">
        <v>275</v>
      </c>
      <c r="P2" s="308" t="s">
        <v>278</v>
      </c>
      <c r="Q2" s="308" t="s">
        <v>276</v>
      </c>
      <c r="R2" s="308" t="s">
        <v>280</v>
      </c>
      <c r="S2" s="308" t="s">
        <v>281</v>
      </c>
      <c r="T2" s="309" t="s">
        <v>277</v>
      </c>
      <c r="U2" s="320" t="s">
        <v>275</v>
      </c>
      <c r="V2" s="308" t="s">
        <v>278</v>
      </c>
      <c r="W2" s="308" t="s">
        <v>276</v>
      </c>
      <c r="X2" s="308" t="s">
        <v>280</v>
      </c>
      <c r="Y2" s="308" t="s">
        <v>281</v>
      </c>
      <c r="Z2" s="309" t="s">
        <v>277</v>
      </c>
      <c r="AE2" s="136" t="s">
        <v>243</v>
      </c>
      <c r="AF2" s="136">
        <v>860</v>
      </c>
    </row>
    <row r="3" spans="1:32" x14ac:dyDescent="0.25">
      <c r="A3" s="112">
        <v>1</v>
      </c>
      <c r="B3" s="110" t="s">
        <v>223</v>
      </c>
      <c r="C3" s="474">
        <v>282600.62</v>
      </c>
      <c r="D3" s="474">
        <v>0</v>
      </c>
      <c r="E3" s="474">
        <v>0</v>
      </c>
      <c r="F3" s="474">
        <v>0</v>
      </c>
      <c r="G3" s="474">
        <v>0</v>
      </c>
      <c r="H3" s="300">
        <f>C3+D3+E3+F3+G3</f>
        <v>282600.62</v>
      </c>
      <c r="I3" s="129">
        <v>23703.27</v>
      </c>
      <c r="J3" s="129">
        <v>0</v>
      </c>
      <c r="K3" s="129">
        <v>0</v>
      </c>
      <c r="L3" s="129">
        <v>0</v>
      </c>
      <c r="M3" s="129">
        <v>0</v>
      </c>
      <c r="N3" s="300">
        <f>I3+J3+K3+L3+M3</f>
        <v>23703.27</v>
      </c>
      <c r="O3" s="301"/>
      <c r="P3" s="129"/>
      <c r="Q3" s="129"/>
      <c r="R3" s="129"/>
      <c r="S3" s="129"/>
      <c r="T3" s="300">
        <f>O3+P3+Q3+R3+S3</f>
        <v>0</v>
      </c>
      <c r="U3" s="301"/>
      <c r="V3" s="129"/>
      <c r="W3" s="129"/>
      <c r="X3" s="129"/>
      <c r="Y3" s="129"/>
      <c r="Z3" s="300">
        <f t="shared" ref="Z3:Z34" si="0">U3+V3+W3+X3+Y3</f>
        <v>0</v>
      </c>
      <c r="AA3" s="135"/>
      <c r="AC3" s="233"/>
      <c r="AD3" s="233"/>
      <c r="AE3" s="341"/>
      <c r="AF3" s="136">
        <v>344</v>
      </c>
    </row>
    <row r="4" spans="1:32" x14ac:dyDescent="0.25">
      <c r="A4" s="111">
        <v>2</v>
      </c>
      <c r="B4" s="110" t="s">
        <v>222</v>
      </c>
      <c r="C4" s="474">
        <v>0</v>
      </c>
      <c r="D4" s="474">
        <v>0</v>
      </c>
      <c r="E4" s="474">
        <v>0</v>
      </c>
      <c r="F4" s="474">
        <v>0</v>
      </c>
      <c r="G4" s="474">
        <v>0</v>
      </c>
      <c r="H4" s="300">
        <f t="shared" ref="H4:H67" si="1">C4+D4+E4+F4+G4</f>
        <v>0</v>
      </c>
      <c r="I4" s="129">
        <v>24151.75</v>
      </c>
      <c r="J4" s="129">
        <v>0</v>
      </c>
      <c r="K4" s="129">
        <v>0</v>
      </c>
      <c r="L4" s="129">
        <v>0</v>
      </c>
      <c r="M4" s="129">
        <v>0</v>
      </c>
      <c r="N4" s="300">
        <f t="shared" ref="N4:N67" si="2">I4+J4+K4+L4+M4</f>
        <v>24151.75</v>
      </c>
      <c r="O4" s="301"/>
      <c r="P4" s="129"/>
      <c r="Q4" s="129"/>
      <c r="R4" s="129"/>
      <c r="S4" s="129"/>
      <c r="T4" s="300">
        <f t="shared" ref="T4:T67" si="3">O4+P4+Q4+R4+S4</f>
        <v>0</v>
      </c>
      <c r="U4" s="301"/>
      <c r="V4" s="129"/>
      <c r="W4" s="129"/>
      <c r="X4" s="129"/>
      <c r="Y4" s="129"/>
      <c r="Z4" s="300">
        <f t="shared" si="0"/>
        <v>0</v>
      </c>
      <c r="AA4" s="135"/>
      <c r="AC4" s="233"/>
      <c r="AD4" s="233"/>
      <c r="AE4" s="342"/>
    </row>
    <row r="5" spans="1:32" x14ac:dyDescent="0.25">
      <c r="A5" s="111">
        <v>3</v>
      </c>
      <c r="B5" s="110" t="s">
        <v>221</v>
      </c>
      <c r="C5" s="474">
        <v>29315.599999999999</v>
      </c>
      <c r="D5" s="474">
        <v>0</v>
      </c>
      <c r="E5" s="474">
        <v>0</v>
      </c>
      <c r="F5" s="474">
        <v>0</v>
      </c>
      <c r="G5" s="474">
        <v>0</v>
      </c>
      <c r="H5" s="300">
        <f t="shared" si="1"/>
        <v>29315.599999999999</v>
      </c>
      <c r="I5" s="129">
        <v>0</v>
      </c>
      <c r="J5" s="129">
        <v>0</v>
      </c>
      <c r="K5" s="129">
        <v>0</v>
      </c>
      <c r="L5" s="129">
        <v>0</v>
      </c>
      <c r="M5" s="129">
        <v>0</v>
      </c>
      <c r="N5" s="300">
        <f t="shared" si="2"/>
        <v>0</v>
      </c>
      <c r="O5" s="301"/>
      <c r="P5" s="129"/>
      <c r="Q5" s="129"/>
      <c r="R5" s="129"/>
      <c r="S5" s="129"/>
      <c r="T5" s="300">
        <f t="shared" si="3"/>
        <v>0</v>
      </c>
      <c r="U5" s="301"/>
      <c r="V5" s="129"/>
      <c r="W5" s="129"/>
      <c r="X5" s="129"/>
      <c r="Y5" s="129"/>
      <c r="Z5" s="300">
        <f t="shared" si="0"/>
        <v>0</v>
      </c>
      <c r="AA5" s="135"/>
      <c r="AC5" s="233"/>
      <c r="AD5" s="233"/>
      <c r="AE5" s="342"/>
      <c r="AF5" t="s">
        <v>264</v>
      </c>
    </row>
    <row r="6" spans="1:32" x14ac:dyDescent="0.25">
      <c r="A6" s="111">
        <v>4</v>
      </c>
      <c r="B6" s="110" t="s">
        <v>220</v>
      </c>
      <c r="C6" s="474">
        <v>877893.56</v>
      </c>
      <c r="D6" s="474">
        <v>0</v>
      </c>
      <c r="E6" s="474">
        <v>0</v>
      </c>
      <c r="F6" s="474">
        <v>0</v>
      </c>
      <c r="G6" s="474">
        <v>0</v>
      </c>
      <c r="H6" s="300">
        <f t="shared" si="1"/>
        <v>877893.56</v>
      </c>
      <c r="I6" s="129">
        <v>19933.14</v>
      </c>
      <c r="J6" s="129">
        <v>0</v>
      </c>
      <c r="K6" s="129">
        <v>0</v>
      </c>
      <c r="L6" s="129">
        <v>0</v>
      </c>
      <c r="M6" s="129">
        <v>0</v>
      </c>
      <c r="N6" s="300">
        <f t="shared" si="2"/>
        <v>19933.14</v>
      </c>
      <c r="O6" s="301"/>
      <c r="P6" s="129"/>
      <c r="Q6" s="129"/>
      <c r="R6" s="129"/>
      <c r="S6" s="129"/>
      <c r="T6" s="300">
        <f t="shared" si="3"/>
        <v>0</v>
      </c>
      <c r="U6" s="301"/>
      <c r="V6" s="129"/>
      <c r="W6" s="129"/>
      <c r="X6" s="129"/>
      <c r="Y6" s="129"/>
      <c r="Z6" s="300">
        <f t="shared" si="0"/>
        <v>0</v>
      </c>
      <c r="AA6" s="135"/>
      <c r="AC6" s="233"/>
      <c r="AD6" s="233"/>
      <c r="AE6" s="342"/>
    </row>
    <row r="7" spans="1:32" x14ac:dyDescent="0.25">
      <c r="A7" s="111">
        <v>5</v>
      </c>
      <c r="B7" s="110" t="s">
        <v>219</v>
      </c>
      <c r="C7" s="474">
        <v>69092.2</v>
      </c>
      <c r="D7" s="474">
        <v>0</v>
      </c>
      <c r="E7" s="474">
        <v>0</v>
      </c>
      <c r="F7" s="474">
        <v>0</v>
      </c>
      <c r="G7" s="474">
        <v>0</v>
      </c>
      <c r="H7" s="300">
        <f t="shared" si="1"/>
        <v>69092.2</v>
      </c>
      <c r="I7" s="129">
        <v>0</v>
      </c>
      <c r="J7" s="129">
        <v>0</v>
      </c>
      <c r="K7" s="129">
        <v>0</v>
      </c>
      <c r="L7" s="129">
        <v>0</v>
      </c>
      <c r="M7" s="129">
        <v>0</v>
      </c>
      <c r="N7" s="300">
        <f t="shared" si="2"/>
        <v>0</v>
      </c>
      <c r="O7" s="301"/>
      <c r="P7" s="129"/>
      <c r="Q7" s="129"/>
      <c r="R7" s="129"/>
      <c r="S7" s="129"/>
      <c r="T7" s="300">
        <f t="shared" si="3"/>
        <v>0</v>
      </c>
      <c r="U7" s="301"/>
      <c r="V7" s="129"/>
      <c r="W7" s="129"/>
      <c r="X7" s="129"/>
      <c r="Y7" s="129"/>
      <c r="Z7" s="300">
        <f t="shared" si="0"/>
        <v>0</v>
      </c>
      <c r="AA7" s="135"/>
      <c r="AC7" s="233"/>
      <c r="AD7" s="233"/>
      <c r="AE7" s="342"/>
    </row>
    <row r="8" spans="1:32" x14ac:dyDescent="0.25">
      <c r="A8" s="111">
        <v>6</v>
      </c>
      <c r="B8" s="110" t="s">
        <v>218</v>
      </c>
      <c r="C8" s="474">
        <v>2172936.2000000002</v>
      </c>
      <c r="D8" s="474">
        <v>0</v>
      </c>
      <c r="E8" s="474">
        <v>0</v>
      </c>
      <c r="F8" s="474">
        <v>0</v>
      </c>
      <c r="G8" s="474">
        <v>0</v>
      </c>
      <c r="H8" s="300">
        <f t="shared" si="1"/>
        <v>2172936.2000000002</v>
      </c>
      <c r="I8" s="129">
        <v>3815326.58</v>
      </c>
      <c r="J8" s="129">
        <v>0</v>
      </c>
      <c r="K8" s="129">
        <v>0</v>
      </c>
      <c r="L8" s="129">
        <v>0</v>
      </c>
      <c r="M8" s="129">
        <v>0</v>
      </c>
      <c r="N8" s="300">
        <f t="shared" si="2"/>
        <v>3815326.58</v>
      </c>
      <c r="O8" s="301"/>
      <c r="P8" s="129"/>
      <c r="Q8" s="129"/>
      <c r="R8" s="129"/>
      <c r="S8" s="129"/>
      <c r="T8" s="300">
        <f t="shared" si="3"/>
        <v>0</v>
      </c>
      <c r="U8" s="301"/>
      <c r="V8" s="129"/>
      <c r="W8" s="129"/>
      <c r="X8" s="129"/>
      <c r="Y8" s="129"/>
      <c r="Z8" s="300">
        <f t="shared" si="0"/>
        <v>0</v>
      </c>
      <c r="AA8" s="135"/>
      <c r="AC8" s="233"/>
      <c r="AD8" s="233"/>
      <c r="AE8" s="342"/>
    </row>
    <row r="9" spans="1:32" x14ac:dyDescent="0.25">
      <c r="A9" s="111">
        <v>7</v>
      </c>
      <c r="B9" s="110" t="s">
        <v>217</v>
      </c>
      <c r="C9" s="474">
        <v>355967.11</v>
      </c>
      <c r="D9" s="474">
        <v>0</v>
      </c>
      <c r="E9" s="474">
        <v>0</v>
      </c>
      <c r="F9" s="474">
        <v>0</v>
      </c>
      <c r="G9" s="474">
        <v>0</v>
      </c>
      <c r="H9" s="300">
        <f t="shared" si="1"/>
        <v>355967.11</v>
      </c>
      <c r="I9" s="129">
        <v>-134482.18</v>
      </c>
      <c r="J9" s="129">
        <v>0</v>
      </c>
      <c r="K9" s="129">
        <v>0</v>
      </c>
      <c r="L9" s="129">
        <v>0</v>
      </c>
      <c r="M9" s="129">
        <v>0</v>
      </c>
      <c r="N9" s="300">
        <f t="shared" si="2"/>
        <v>-134482.18</v>
      </c>
      <c r="O9" s="301"/>
      <c r="P9" s="129"/>
      <c r="Q9" s="129"/>
      <c r="R9" s="129"/>
      <c r="S9" s="129"/>
      <c r="T9" s="300">
        <f t="shared" si="3"/>
        <v>0</v>
      </c>
      <c r="U9" s="301"/>
      <c r="V9" s="129"/>
      <c r="W9" s="129"/>
      <c r="X9" s="129"/>
      <c r="Y9" s="129"/>
      <c r="Z9" s="300">
        <f t="shared" si="0"/>
        <v>0</v>
      </c>
      <c r="AA9" s="135"/>
      <c r="AC9" s="233"/>
      <c r="AD9" s="233"/>
      <c r="AE9" s="342"/>
    </row>
    <row r="10" spans="1:32" x14ac:dyDescent="0.25">
      <c r="A10" s="111">
        <v>8</v>
      </c>
      <c r="B10" s="110" t="s">
        <v>216</v>
      </c>
      <c r="C10" s="474">
        <v>1088677.74</v>
      </c>
      <c r="D10" s="474">
        <v>0</v>
      </c>
      <c r="E10" s="474">
        <v>0</v>
      </c>
      <c r="F10" s="474">
        <v>0</v>
      </c>
      <c r="G10" s="474">
        <v>0</v>
      </c>
      <c r="H10" s="300">
        <f t="shared" si="1"/>
        <v>1088677.74</v>
      </c>
      <c r="I10" s="129">
        <v>30000</v>
      </c>
      <c r="J10" s="129">
        <v>0</v>
      </c>
      <c r="K10" s="129">
        <v>0</v>
      </c>
      <c r="L10" s="129">
        <v>0</v>
      </c>
      <c r="M10" s="129">
        <v>0</v>
      </c>
      <c r="N10" s="300">
        <f t="shared" si="2"/>
        <v>30000</v>
      </c>
      <c r="O10" s="301"/>
      <c r="P10" s="129"/>
      <c r="Q10" s="129"/>
      <c r="R10" s="129"/>
      <c r="S10" s="129"/>
      <c r="T10" s="300">
        <f t="shared" si="3"/>
        <v>0</v>
      </c>
      <c r="U10" s="301"/>
      <c r="V10" s="129"/>
      <c r="W10" s="129"/>
      <c r="X10" s="129"/>
      <c r="Y10" s="129"/>
      <c r="Z10" s="300">
        <f t="shared" si="0"/>
        <v>0</v>
      </c>
      <c r="AA10" s="135"/>
      <c r="AC10" s="233"/>
      <c r="AD10" s="233"/>
      <c r="AE10" s="342"/>
    </row>
    <row r="11" spans="1:32" x14ac:dyDescent="0.25">
      <c r="A11" s="111">
        <v>9</v>
      </c>
      <c r="B11" s="110" t="s">
        <v>215</v>
      </c>
      <c r="C11" s="474">
        <v>644622.68000000005</v>
      </c>
      <c r="D11" s="474">
        <v>0</v>
      </c>
      <c r="E11" s="474">
        <v>0</v>
      </c>
      <c r="F11" s="474">
        <v>0</v>
      </c>
      <c r="G11" s="474">
        <v>0</v>
      </c>
      <c r="H11" s="300">
        <f t="shared" si="1"/>
        <v>644622.68000000005</v>
      </c>
      <c r="I11" s="129">
        <v>109263.82</v>
      </c>
      <c r="J11" s="129">
        <v>0</v>
      </c>
      <c r="K11" s="129">
        <v>0</v>
      </c>
      <c r="L11" s="129">
        <v>0</v>
      </c>
      <c r="M11" s="129">
        <v>0</v>
      </c>
      <c r="N11" s="300">
        <f t="shared" si="2"/>
        <v>109263.82</v>
      </c>
      <c r="O11" s="301"/>
      <c r="P11" s="129"/>
      <c r="Q11" s="129"/>
      <c r="R11" s="129"/>
      <c r="S11" s="129"/>
      <c r="T11" s="300">
        <f t="shared" si="3"/>
        <v>0</v>
      </c>
      <c r="U11" s="301"/>
      <c r="V11" s="129"/>
      <c r="W11" s="129"/>
      <c r="X11" s="129"/>
      <c r="Y11" s="129"/>
      <c r="Z11" s="300">
        <f t="shared" si="0"/>
        <v>0</v>
      </c>
      <c r="AA11" s="135"/>
      <c r="AC11" s="233"/>
      <c r="AD11" s="233"/>
      <c r="AE11" s="342"/>
    </row>
    <row r="12" spans="1:32" x14ac:dyDescent="0.25">
      <c r="A12" s="111">
        <v>10</v>
      </c>
      <c r="B12" s="110" t="s">
        <v>214</v>
      </c>
      <c r="C12" s="474">
        <v>86660.72</v>
      </c>
      <c r="D12" s="474">
        <v>0</v>
      </c>
      <c r="E12" s="474">
        <v>0</v>
      </c>
      <c r="F12" s="474">
        <v>0</v>
      </c>
      <c r="G12" s="474">
        <v>0</v>
      </c>
      <c r="H12" s="300">
        <f t="shared" si="1"/>
        <v>86660.72</v>
      </c>
      <c r="I12" s="129">
        <v>0</v>
      </c>
      <c r="J12" s="129">
        <v>0</v>
      </c>
      <c r="K12" s="129">
        <v>0</v>
      </c>
      <c r="L12" s="129">
        <v>0</v>
      </c>
      <c r="M12" s="129">
        <v>0</v>
      </c>
      <c r="N12" s="300">
        <f t="shared" si="2"/>
        <v>0</v>
      </c>
      <c r="O12" s="301"/>
      <c r="P12" s="129"/>
      <c r="Q12" s="129"/>
      <c r="R12" s="129"/>
      <c r="S12" s="129"/>
      <c r="T12" s="300">
        <f t="shared" si="3"/>
        <v>0</v>
      </c>
      <c r="U12" s="301"/>
      <c r="V12" s="129"/>
      <c r="W12" s="129"/>
      <c r="X12" s="129"/>
      <c r="Y12" s="129"/>
      <c r="Z12" s="300">
        <f t="shared" si="0"/>
        <v>0</v>
      </c>
      <c r="AA12" s="135"/>
      <c r="AC12" s="233"/>
      <c r="AD12" s="233"/>
      <c r="AE12" s="342"/>
    </row>
    <row r="13" spans="1:32" x14ac:dyDescent="0.25">
      <c r="A13" s="111">
        <v>11</v>
      </c>
      <c r="B13" s="110" t="s">
        <v>213</v>
      </c>
      <c r="C13" s="474">
        <v>0</v>
      </c>
      <c r="D13" s="474">
        <v>0</v>
      </c>
      <c r="E13" s="474">
        <v>0</v>
      </c>
      <c r="F13" s="474">
        <v>0</v>
      </c>
      <c r="G13" s="474">
        <v>0</v>
      </c>
      <c r="H13" s="300">
        <f t="shared" si="1"/>
        <v>0</v>
      </c>
      <c r="I13" s="129">
        <v>-905797.6</v>
      </c>
      <c r="J13" s="129">
        <v>0</v>
      </c>
      <c r="K13" s="129">
        <v>0</v>
      </c>
      <c r="L13" s="129">
        <v>0</v>
      </c>
      <c r="M13" s="129">
        <v>0</v>
      </c>
      <c r="N13" s="300">
        <f t="shared" si="2"/>
        <v>-905797.6</v>
      </c>
      <c r="O13" s="301"/>
      <c r="P13" s="129"/>
      <c r="Q13" s="129"/>
      <c r="R13" s="129"/>
      <c r="S13" s="129"/>
      <c r="T13" s="300">
        <f t="shared" si="3"/>
        <v>0</v>
      </c>
      <c r="U13" s="301"/>
      <c r="V13" s="129"/>
      <c r="W13" s="129"/>
      <c r="X13" s="129"/>
      <c r="Y13" s="129"/>
      <c r="Z13" s="300">
        <f t="shared" si="0"/>
        <v>0</v>
      </c>
      <c r="AA13" s="135"/>
      <c r="AC13" s="233"/>
      <c r="AD13" s="233"/>
      <c r="AE13" s="342"/>
    </row>
    <row r="14" spans="1:32" x14ac:dyDescent="0.25">
      <c r="A14" s="111">
        <v>12</v>
      </c>
      <c r="B14" s="110" t="s">
        <v>212</v>
      </c>
      <c r="C14" s="474">
        <v>2016913.68</v>
      </c>
      <c r="D14" s="474">
        <v>0</v>
      </c>
      <c r="E14" s="474">
        <v>0</v>
      </c>
      <c r="F14" s="474">
        <v>0</v>
      </c>
      <c r="G14" s="474">
        <v>0</v>
      </c>
      <c r="H14" s="300">
        <f t="shared" si="1"/>
        <v>2016913.68</v>
      </c>
      <c r="I14" s="129">
        <v>160908.94</v>
      </c>
      <c r="J14" s="129">
        <v>0</v>
      </c>
      <c r="K14" s="129">
        <v>0</v>
      </c>
      <c r="L14" s="129">
        <v>0</v>
      </c>
      <c r="M14" s="129">
        <v>0</v>
      </c>
      <c r="N14" s="300">
        <f t="shared" si="2"/>
        <v>160908.94</v>
      </c>
      <c r="O14" s="301"/>
      <c r="P14" s="129"/>
      <c r="Q14" s="129"/>
      <c r="R14" s="129"/>
      <c r="S14" s="129"/>
      <c r="T14" s="300">
        <f t="shared" si="3"/>
        <v>0</v>
      </c>
      <c r="U14" s="301"/>
      <c r="V14" s="129"/>
      <c r="W14" s="129"/>
      <c r="X14" s="129"/>
      <c r="Y14" s="129"/>
      <c r="Z14" s="300">
        <f t="shared" si="0"/>
        <v>0</v>
      </c>
      <c r="AA14" s="135"/>
      <c r="AC14" s="233"/>
      <c r="AD14" s="233"/>
      <c r="AE14" s="342"/>
    </row>
    <row r="15" spans="1:32" x14ac:dyDescent="0.25">
      <c r="A15" s="111">
        <v>13</v>
      </c>
      <c r="B15" s="110" t="s">
        <v>211</v>
      </c>
      <c r="C15" s="474">
        <v>342785.97</v>
      </c>
      <c r="D15" s="474">
        <v>0</v>
      </c>
      <c r="E15" s="474">
        <v>0</v>
      </c>
      <c r="F15" s="474">
        <v>0</v>
      </c>
      <c r="G15" s="474">
        <v>0</v>
      </c>
      <c r="H15" s="300">
        <f t="shared" si="1"/>
        <v>342785.97</v>
      </c>
      <c r="I15" s="129">
        <v>17088.13</v>
      </c>
      <c r="J15" s="129">
        <v>0</v>
      </c>
      <c r="K15" s="129">
        <v>0</v>
      </c>
      <c r="L15" s="129">
        <v>0</v>
      </c>
      <c r="M15" s="129">
        <v>0</v>
      </c>
      <c r="N15" s="300">
        <f t="shared" si="2"/>
        <v>17088.13</v>
      </c>
      <c r="O15" s="301"/>
      <c r="P15" s="129"/>
      <c r="Q15" s="129"/>
      <c r="R15" s="129"/>
      <c r="S15" s="129"/>
      <c r="T15" s="300">
        <f t="shared" si="3"/>
        <v>0</v>
      </c>
      <c r="U15" s="301"/>
      <c r="V15" s="129"/>
      <c r="W15" s="129"/>
      <c r="X15" s="129"/>
      <c r="Y15" s="129"/>
      <c r="Z15" s="300">
        <f t="shared" si="0"/>
        <v>0</v>
      </c>
      <c r="AA15" s="135"/>
      <c r="AC15" s="233"/>
      <c r="AD15" s="233"/>
      <c r="AE15" s="342"/>
    </row>
    <row r="16" spans="1:32" x14ac:dyDescent="0.25">
      <c r="A16" s="111">
        <v>14</v>
      </c>
      <c r="B16" s="110" t="s">
        <v>210</v>
      </c>
      <c r="C16" s="474">
        <v>0</v>
      </c>
      <c r="D16" s="474">
        <v>0</v>
      </c>
      <c r="E16" s="474">
        <v>0</v>
      </c>
      <c r="F16" s="474">
        <v>0</v>
      </c>
      <c r="G16" s="474">
        <v>0</v>
      </c>
      <c r="H16" s="300">
        <f t="shared" si="1"/>
        <v>0</v>
      </c>
      <c r="I16" s="129">
        <v>0</v>
      </c>
      <c r="J16" s="129">
        <v>0</v>
      </c>
      <c r="K16" s="129">
        <v>0</v>
      </c>
      <c r="L16" s="129">
        <v>0</v>
      </c>
      <c r="M16" s="129">
        <v>0</v>
      </c>
      <c r="N16" s="300">
        <f t="shared" si="2"/>
        <v>0</v>
      </c>
      <c r="O16" s="301"/>
      <c r="P16" s="129"/>
      <c r="Q16" s="129"/>
      <c r="R16" s="129"/>
      <c r="S16" s="129"/>
      <c r="T16" s="300">
        <f t="shared" si="3"/>
        <v>0</v>
      </c>
      <c r="U16" s="301"/>
      <c r="V16" s="129"/>
      <c r="W16" s="129"/>
      <c r="X16" s="129"/>
      <c r="Y16" s="129"/>
      <c r="Z16" s="300">
        <f t="shared" si="0"/>
        <v>0</v>
      </c>
      <c r="AA16" s="135"/>
      <c r="AC16" s="233"/>
      <c r="AD16" s="233"/>
      <c r="AE16" s="342"/>
    </row>
    <row r="17" spans="1:31" x14ac:dyDescent="0.25">
      <c r="A17" s="111">
        <v>15</v>
      </c>
      <c r="B17" s="110" t="s">
        <v>209</v>
      </c>
      <c r="C17" s="474">
        <v>12522.5</v>
      </c>
      <c r="D17" s="474">
        <v>0</v>
      </c>
      <c r="E17" s="474">
        <v>0</v>
      </c>
      <c r="F17" s="474">
        <v>0</v>
      </c>
      <c r="G17" s="474">
        <v>0</v>
      </c>
      <c r="H17" s="300">
        <f t="shared" si="1"/>
        <v>12522.5</v>
      </c>
      <c r="I17" s="129">
        <v>0</v>
      </c>
      <c r="J17" s="129">
        <v>0</v>
      </c>
      <c r="K17" s="129">
        <v>0</v>
      </c>
      <c r="L17" s="129">
        <v>0</v>
      </c>
      <c r="M17" s="129">
        <v>0</v>
      </c>
      <c r="N17" s="300">
        <f t="shared" si="2"/>
        <v>0</v>
      </c>
      <c r="O17" s="301"/>
      <c r="P17" s="129"/>
      <c r="Q17" s="129"/>
      <c r="R17" s="129"/>
      <c r="S17" s="129"/>
      <c r="T17" s="300">
        <f t="shared" si="3"/>
        <v>0</v>
      </c>
      <c r="U17" s="301"/>
      <c r="V17" s="129"/>
      <c r="W17" s="129"/>
      <c r="X17" s="129"/>
      <c r="Y17" s="129"/>
      <c r="Z17" s="300">
        <f t="shared" si="0"/>
        <v>0</v>
      </c>
      <c r="AA17" s="135"/>
      <c r="AC17" s="233"/>
      <c r="AD17" s="233"/>
      <c r="AE17" s="342"/>
    </row>
    <row r="18" spans="1:31" x14ac:dyDescent="0.25">
      <c r="A18" s="111">
        <v>16</v>
      </c>
      <c r="B18" s="110" t="s">
        <v>208</v>
      </c>
      <c r="C18" s="474">
        <v>1941896.82</v>
      </c>
      <c r="D18" s="474">
        <v>0</v>
      </c>
      <c r="E18" s="474">
        <v>0</v>
      </c>
      <c r="F18" s="474">
        <v>0</v>
      </c>
      <c r="G18" s="474">
        <v>0</v>
      </c>
      <c r="H18" s="300">
        <f t="shared" si="1"/>
        <v>1941896.82</v>
      </c>
      <c r="I18" s="129">
        <v>607932.37</v>
      </c>
      <c r="J18" s="129">
        <v>0</v>
      </c>
      <c r="K18" s="129">
        <v>0</v>
      </c>
      <c r="L18" s="129">
        <v>0</v>
      </c>
      <c r="M18" s="129">
        <v>0</v>
      </c>
      <c r="N18" s="300">
        <f t="shared" si="2"/>
        <v>607932.37</v>
      </c>
      <c r="O18" s="301"/>
      <c r="P18" s="129"/>
      <c r="Q18" s="129"/>
      <c r="R18" s="129"/>
      <c r="S18" s="129"/>
      <c r="T18" s="300">
        <f t="shared" si="3"/>
        <v>0</v>
      </c>
      <c r="U18" s="301"/>
      <c r="V18" s="129"/>
      <c r="W18" s="129"/>
      <c r="X18" s="129"/>
      <c r="Y18" s="129"/>
      <c r="Z18" s="300">
        <f t="shared" si="0"/>
        <v>0</v>
      </c>
      <c r="AA18" s="135"/>
      <c r="AC18" s="233"/>
      <c r="AD18" s="233"/>
      <c r="AE18" s="342"/>
    </row>
    <row r="19" spans="1:31" x14ac:dyDescent="0.25">
      <c r="A19" s="111">
        <v>17</v>
      </c>
      <c r="B19" s="110" t="s">
        <v>207</v>
      </c>
      <c r="C19" s="474">
        <v>2090036.02</v>
      </c>
      <c r="D19" s="474">
        <v>0</v>
      </c>
      <c r="E19" s="474">
        <v>0</v>
      </c>
      <c r="F19" s="474">
        <v>0</v>
      </c>
      <c r="G19" s="474">
        <v>0</v>
      </c>
      <c r="H19" s="300">
        <f t="shared" si="1"/>
        <v>2090036.02</v>
      </c>
      <c r="I19" s="129">
        <v>2893</v>
      </c>
      <c r="J19" s="129">
        <v>0</v>
      </c>
      <c r="K19" s="129">
        <v>0</v>
      </c>
      <c r="L19" s="129">
        <v>0</v>
      </c>
      <c r="M19" s="129">
        <v>0</v>
      </c>
      <c r="N19" s="300">
        <f t="shared" si="2"/>
        <v>2893</v>
      </c>
      <c r="O19" s="301"/>
      <c r="P19" s="129"/>
      <c r="Q19" s="129"/>
      <c r="R19" s="129"/>
      <c r="S19" s="129"/>
      <c r="T19" s="300">
        <f t="shared" si="3"/>
        <v>0</v>
      </c>
      <c r="U19" s="301"/>
      <c r="V19" s="129"/>
      <c r="W19" s="129"/>
      <c r="X19" s="129"/>
      <c r="Y19" s="129"/>
      <c r="Z19" s="300">
        <f t="shared" si="0"/>
        <v>0</v>
      </c>
      <c r="AA19" s="135"/>
      <c r="AC19" s="233"/>
      <c r="AD19" s="233"/>
      <c r="AE19" s="342"/>
    </row>
    <row r="20" spans="1:31" x14ac:dyDescent="0.25">
      <c r="A20" s="111">
        <v>18</v>
      </c>
      <c r="B20" s="110" t="s">
        <v>206</v>
      </c>
      <c r="C20" s="474">
        <v>445256.99</v>
      </c>
      <c r="D20" s="474">
        <v>0</v>
      </c>
      <c r="E20" s="474">
        <v>0</v>
      </c>
      <c r="F20" s="474">
        <v>0</v>
      </c>
      <c r="G20" s="474">
        <v>0</v>
      </c>
      <c r="H20" s="300">
        <f t="shared" si="1"/>
        <v>445256.99</v>
      </c>
      <c r="I20" s="129">
        <v>1669825.84</v>
      </c>
      <c r="J20" s="129">
        <v>0</v>
      </c>
      <c r="K20" s="129">
        <v>0</v>
      </c>
      <c r="L20" s="129">
        <v>0</v>
      </c>
      <c r="M20" s="129">
        <v>0</v>
      </c>
      <c r="N20" s="300">
        <f t="shared" si="2"/>
        <v>1669825.84</v>
      </c>
      <c r="O20" s="301"/>
      <c r="P20" s="129"/>
      <c r="Q20" s="129"/>
      <c r="R20" s="129"/>
      <c r="S20" s="129"/>
      <c r="T20" s="300">
        <f t="shared" si="3"/>
        <v>0</v>
      </c>
      <c r="U20" s="301"/>
      <c r="V20" s="129"/>
      <c r="W20" s="129"/>
      <c r="X20" s="129"/>
      <c r="Y20" s="129"/>
      <c r="Z20" s="300">
        <f t="shared" si="0"/>
        <v>0</v>
      </c>
      <c r="AA20" s="135"/>
      <c r="AC20" s="233"/>
      <c r="AD20" s="233"/>
      <c r="AE20" s="342"/>
    </row>
    <row r="21" spans="1:31" x14ac:dyDescent="0.25">
      <c r="A21" s="111">
        <v>19</v>
      </c>
      <c r="B21" s="110" t="s">
        <v>205</v>
      </c>
      <c r="C21" s="474">
        <v>1082681.79</v>
      </c>
      <c r="D21" s="474">
        <v>0</v>
      </c>
      <c r="E21" s="474">
        <v>9424.8799999999992</v>
      </c>
      <c r="F21" s="474">
        <v>0</v>
      </c>
      <c r="G21" s="474">
        <v>0</v>
      </c>
      <c r="H21" s="300">
        <f t="shared" si="1"/>
        <v>1092106.67</v>
      </c>
      <c r="I21" s="129">
        <v>182160.77</v>
      </c>
      <c r="J21" s="129">
        <v>0</v>
      </c>
      <c r="K21" s="129">
        <v>309.25</v>
      </c>
      <c r="L21" s="129">
        <v>0</v>
      </c>
      <c r="M21" s="129">
        <v>0</v>
      </c>
      <c r="N21" s="300">
        <f t="shared" si="2"/>
        <v>182470.02</v>
      </c>
      <c r="O21" s="301"/>
      <c r="P21" s="129"/>
      <c r="Q21" s="129"/>
      <c r="R21" s="129"/>
      <c r="S21" s="129"/>
      <c r="T21" s="300">
        <f t="shared" si="3"/>
        <v>0</v>
      </c>
      <c r="U21" s="301"/>
      <c r="V21" s="129"/>
      <c r="W21" s="129"/>
      <c r="X21" s="129"/>
      <c r="Y21" s="129"/>
      <c r="Z21" s="300">
        <f t="shared" si="0"/>
        <v>0</v>
      </c>
      <c r="AA21" s="135"/>
      <c r="AC21" s="233"/>
      <c r="AD21" s="233"/>
      <c r="AE21" s="342"/>
    </row>
    <row r="22" spans="1:31" x14ac:dyDescent="0.25">
      <c r="A22" s="111">
        <v>20</v>
      </c>
      <c r="B22" s="110" t="s">
        <v>204</v>
      </c>
      <c r="C22" s="474">
        <v>572926.19999999995</v>
      </c>
      <c r="D22" s="474">
        <v>0</v>
      </c>
      <c r="E22" s="474">
        <v>23156.15</v>
      </c>
      <c r="F22" s="474">
        <v>0</v>
      </c>
      <c r="G22" s="474">
        <v>0</v>
      </c>
      <c r="H22" s="300">
        <f t="shared" si="1"/>
        <v>596082.35</v>
      </c>
      <c r="I22" s="129">
        <v>497785.86</v>
      </c>
      <c r="J22" s="129">
        <v>0</v>
      </c>
      <c r="K22" s="129">
        <v>1337.75</v>
      </c>
      <c r="L22" s="129">
        <v>0</v>
      </c>
      <c r="M22" s="129">
        <v>0</v>
      </c>
      <c r="N22" s="300">
        <f t="shared" si="2"/>
        <v>499123.61</v>
      </c>
      <c r="O22" s="301"/>
      <c r="P22" s="129"/>
      <c r="Q22" s="129"/>
      <c r="R22" s="129"/>
      <c r="S22" s="129"/>
      <c r="T22" s="300">
        <f t="shared" si="3"/>
        <v>0</v>
      </c>
      <c r="U22" s="301"/>
      <c r="V22" s="129"/>
      <c r="W22" s="129"/>
      <c r="X22" s="129"/>
      <c r="Y22" s="129"/>
      <c r="Z22" s="300">
        <f t="shared" si="0"/>
        <v>0</v>
      </c>
      <c r="AA22" s="135"/>
      <c r="AC22" s="233"/>
      <c r="AD22" s="233"/>
      <c r="AE22" s="342"/>
    </row>
    <row r="23" spans="1:31" x14ac:dyDescent="0.25">
      <c r="A23" s="111">
        <v>21</v>
      </c>
      <c r="B23" s="110" t="s">
        <v>203</v>
      </c>
      <c r="C23" s="474">
        <v>0</v>
      </c>
      <c r="D23" s="474">
        <v>0</v>
      </c>
      <c r="E23" s="474">
        <v>0</v>
      </c>
      <c r="F23" s="474">
        <v>0</v>
      </c>
      <c r="G23" s="474">
        <v>0</v>
      </c>
      <c r="H23" s="300">
        <f t="shared" si="1"/>
        <v>0</v>
      </c>
      <c r="I23" s="129">
        <v>234646.88</v>
      </c>
      <c r="J23" s="129">
        <v>0</v>
      </c>
      <c r="K23" s="129">
        <v>0</v>
      </c>
      <c r="L23" s="129">
        <v>0</v>
      </c>
      <c r="M23" s="129">
        <v>0</v>
      </c>
      <c r="N23" s="300">
        <f t="shared" si="2"/>
        <v>234646.88</v>
      </c>
      <c r="O23" s="301"/>
      <c r="P23" s="129"/>
      <c r="Q23" s="129"/>
      <c r="R23" s="129"/>
      <c r="S23" s="129"/>
      <c r="T23" s="300">
        <f t="shared" si="3"/>
        <v>0</v>
      </c>
      <c r="U23" s="301"/>
      <c r="V23" s="129"/>
      <c r="W23" s="129"/>
      <c r="X23" s="129"/>
      <c r="Y23" s="129"/>
      <c r="Z23" s="300">
        <f t="shared" si="0"/>
        <v>0</v>
      </c>
      <c r="AA23" s="135"/>
      <c r="AC23" s="233"/>
      <c r="AD23" s="233"/>
      <c r="AE23" s="342"/>
    </row>
    <row r="24" spans="1:31" x14ac:dyDescent="0.25">
      <c r="A24" s="111">
        <v>22</v>
      </c>
      <c r="B24" s="110" t="s">
        <v>202</v>
      </c>
      <c r="C24" s="474">
        <v>199203.25</v>
      </c>
      <c r="D24" s="474">
        <v>0</v>
      </c>
      <c r="E24" s="474">
        <v>0</v>
      </c>
      <c r="F24" s="474">
        <v>0</v>
      </c>
      <c r="G24" s="474">
        <v>0</v>
      </c>
      <c r="H24" s="300">
        <f t="shared" si="1"/>
        <v>199203.25</v>
      </c>
      <c r="I24" s="129">
        <v>302608.8</v>
      </c>
      <c r="J24" s="129">
        <v>0</v>
      </c>
      <c r="K24" s="129">
        <v>0</v>
      </c>
      <c r="L24" s="129">
        <v>0</v>
      </c>
      <c r="M24" s="129">
        <v>0</v>
      </c>
      <c r="N24" s="300">
        <f t="shared" si="2"/>
        <v>302608.8</v>
      </c>
      <c r="O24" s="301"/>
      <c r="P24" s="129"/>
      <c r="Q24" s="129"/>
      <c r="R24" s="129"/>
      <c r="S24" s="129"/>
      <c r="T24" s="300">
        <f t="shared" si="3"/>
        <v>0</v>
      </c>
      <c r="U24" s="301"/>
      <c r="V24" s="129"/>
      <c r="W24" s="129"/>
      <c r="X24" s="129"/>
      <c r="Y24" s="129"/>
      <c r="Z24" s="300">
        <f t="shared" si="0"/>
        <v>0</v>
      </c>
      <c r="AA24" s="135"/>
      <c r="AC24" s="233"/>
      <c r="AD24" s="233"/>
      <c r="AE24" s="342"/>
    </row>
    <row r="25" spans="1:31" x14ac:dyDescent="0.25">
      <c r="A25" s="111">
        <v>23</v>
      </c>
      <c r="B25" s="110" t="s">
        <v>201</v>
      </c>
      <c r="C25" s="474">
        <v>1237108.3500000001</v>
      </c>
      <c r="D25" s="474">
        <v>0</v>
      </c>
      <c r="E25" s="474">
        <v>82493.5</v>
      </c>
      <c r="F25" s="474">
        <v>0</v>
      </c>
      <c r="G25" s="474">
        <v>0</v>
      </c>
      <c r="H25" s="300">
        <f t="shared" si="1"/>
        <v>1319601.8500000001</v>
      </c>
      <c r="I25" s="129">
        <v>968961.47</v>
      </c>
      <c r="J25" s="129">
        <v>0</v>
      </c>
      <c r="K25" s="129">
        <v>0</v>
      </c>
      <c r="L25" s="129">
        <v>0</v>
      </c>
      <c r="M25" s="129">
        <v>0</v>
      </c>
      <c r="N25" s="300">
        <f t="shared" si="2"/>
        <v>968961.47</v>
      </c>
      <c r="O25" s="301"/>
      <c r="P25" s="129"/>
      <c r="Q25" s="129"/>
      <c r="R25" s="129"/>
      <c r="S25" s="129"/>
      <c r="T25" s="300">
        <f t="shared" si="3"/>
        <v>0</v>
      </c>
      <c r="U25" s="301"/>
      <c r="V25" s="129"/>
      <c r="W25" s="129"/>
      <c r="X25" s="129"/>
      <c r="Y25" s="129"/>
      <c r="Z25" s="300">
        <f t="shared" si="0"/>
        <v>0</v>
      </c>
      <c r="AA25" s="135"/>
      <c r="AC25" s="233"/>
      <c r="AD25" s="233"/>
      <c r="AE25" s="342"/>
    </row>
    <row r="26" spans="1:31" x14ac:dyDescent="0.25">
      <c r="A26" s="111">
        <v>24</v>
      </c>
      <c r="B26" s="110" t="s">
        <v>200</v>
      </c>
      <c r="C26" s="474">
        <v>439601.12</v>
      </c>
      <c r="D26" s="474">
        <v>0</v>
      </c>
      <c r="E26" s="474">
        <v>0</v>
      </c>
      <c r="F26" s="474">
        <v>0</v>
      </c>
      <c r="G26" s="474">
        <v>0</v>
      </c>
      <c r="H26" s="300">
        <f t="shared" si="1"/>
        <v>439601.12</v>
      </c>
      <c r="I26" s="129">
        <v>233908.41</v>
      </c>
      <c r="J26" s="129">
        <v>0</v>
      </c>
      <c r="K26" s="129">
        <v>0</v>
      </c>
      <c r="L26" s="129">
        <v>0</v>
      </c>
      <c r="M26" s="129">
        <v>0</v>
      </c>
      <c r="N26" s="300">
        <f t="shared" si="2"/>
        <v>233908.41</v>
      </c>
      <c r="O26" s="301"/>
      <c r="P26" s="129"/>
      <c r="Q26" s="129"/>
      <c r="R26" s="129"/>
      <c r="S26" s="129"/>
      <c r="T26" s="300">
        <f t="shared" si="3"/>
        <v>0</v>
      </c>
      <c r="U26" s="301"/>
      <c r="V26" s="129"/>
      <c r="W26" s="129"/>
      <c r="X26" s="129"/>
      <c r="Y26" s="129"/>
      <c r="Z26" s="300">
        <f t="shared" si="0"/>
        <v>0</v>
      </c>
      <c r="AA26" s="135"/>
      <c r="AC26" s="233"/>
      <c r="AD26" s="233"/>
      <c r="AE26" s="342"/>
    </row>
    <row r="27" spans="1:31" x14ac:dyDescent="0.25">
      <c r="A27" s="111">
        <v>25</v>
      </c>
      <c r="B27" s="110" t="s">
        <v>199</v>
      </c>
      <c r="C27" s="474">
        <v>918033.47</v>
      </c>
      <c r="D27" s="474">
        <v>0</v>
      </c>
      <c r="E27" s="474">
        <v>0</v>
      </c>
      <c r="F27" s="474">
        <v>0</v>
      </c>
      <c r="G27" s="474">
        <v>0</v>
      </c>
      <c r="H27" s="300">
        <f t="shared" si="1"/>
        <v>918033.47</v>
      </c>
      <c r="I27" s="129">
        <v>263493.78999999998</v>
      </c>
      <c r="J27" s="129">
        <v>0</v>
      </c>
      <c r="K27" s="129">
        <v>0</v>
      </c>
      <c r="L27" s="129">
        <v>0</v>
      </c>
      <c r="M27" s="129">
        <v>0</v>
      </c>
      <c r="N27" s="300">
        <f t="shared" si="2"/>
        <v>263493.78999999998</v>
      </c>
      <c r="O27" s="301"/>
      <c r="P27" s="129"/>
      <c r="Q27" s="129"/>
      <c r="R27" s="129"/>
      <c r="S27" s="129"/>
      <c r="T27" s="300">
        <f t="shared" si="3"/>
        <v>0</v>
      </c>
      <c r="U27" s="301"/>
      <c r="V27" s="129"/>
      <c r="W27" s="129"/>
      <c r="X27" s="129"/>
      <c r="Y27" s="129"/>
      <c r="Z27" s="300">
        <f t="shared" si="0"/>
        <v>0</v>
      </c>
      <c r="AA27" s="135"/>
      <c r="AC27" s="233"/>
      <c r="AD27" s="233"/>
      <c r="AE27" s="342"/>
    </row>
    <row r="28" spans="1:31" x14ac:dyDescent="0.25">
      <c r="A28" s="111">
        <v>26</v>
      </c>
      <c r="B28" s="110" t="s">
        <v>198</v>
      </c>
      <c r="C28" s="474">
        <v>608382.13</v>
      </c>
      <c r="D28" s="474">
        <v>0</v>
      </c>
      <c r="E28" s="474">
        <v>0</v>
      </c>
      <c r="F28" s="474">
        <v>0</v>
      </c>
      <c r="G28" s="474">
        <v>0</v>
      </c>
      <c r="H28" s="300">
        <f t="shared" si="1"/>
        <v>608382.13</v>
      </c>
      <c r="I28" s="129">
        <v>276025.56</v>
      </c>
      <c r="J28" s="129">
        <v>0</v>
      </c>
      <c r="K28" s="129">
        <v>0</v>
      </c>
      <c r="L28" s="129">
        <v>0</v>
      </c>
      <c r="M28" s="129">
        <v>0</v>
      </c>
      <c r="N28" s="300">
        <f t="shared" si="2"/>
        <v>276025.56</v>
      </c>
      <c r="O28" s="301"/>
      <c r="P28" s="129"/>
      <c r="Q28" s="129"/>
      <c r="R28" s="129"/>
      <c r="S28" s="129"/>
      <c r="T28" s="300">
        <f t="shared" si="3"/>
        <v>0</v>
      </c>
      <c r="U28" s="301"/>
      <c r="V28" s="129"/>
      <c r="W28" s="129"/>
      <c r="X28" s="129"/>
      <c r="Y28" s="129"/>
      <c r="Z28" s="300">
        <f t="shared" si="0"/>
        <v>0</v>
      </c>
      <c r="AA28" s="135"/>
      <c r="AD28" s="233"/>
      <c r="AE28" s="342"/>
    </row>
    <row r="29" spans="1:31" x14ac:dyDescent="0.25">
      <c r="A29" s="111">
        <v>27</v>
      </c>
      <c r="B29" s="110" t="s">
        <v>197</v>
      </c>
      <c r="C29" s="474">
        <v>30539.17</v>
      </c>
      <c r="D29" s="474">
        <v>0</v>
      </c>
      <c r="E29" s="474">
        <v>2290.5</v>
      </c>
      <c r="F29" s="474">
        <v>0</v>
      </c>
      <c r="G29" s="474">
        <v>0</v>
      </c>
      <c r="H29" s="300">
        <f t="shared" si="1"/>
        <v>32829.67</v>
      </c>
      <c r="I29" s="129">
        <v>-14981.36</v>
      </c>
      <c r="J29" s="129">
        <v>0</v>
      </c>
      <c r="K29" s="129">
        <v>30131.200000000001</v>
      </c>
      <c r="L29" s="129">
        <v>0</v>
      </c>
      <c r="M29" s="129">
        <v>0</v>
      </c>
      <c r="N29" s="300">
        <f t="shared" si="2"/>
        <v>15149.84</v>
      </c>
      <c r="O29" s="301"/>
      <c r="P29" s="129"/>
      <c r="Q29" s="129"/>
      <c r="R29" s="129"/>
      <c r="S29" s="129"/>
      <c r="T29" s="300">
        <f t="shared" si="3"/>
        <v>0</v>
      </c>
      <c r="U29" s="301"/>
      <c r="V29" s="129"/>
      <c r="W29" s="129"/>
      <c r="X29" s="129"/>
      <c r="Y29" s="129"/>
      <c r="Z29" s="300">
        <f t="shared" si="0"/>
        <v>0</v>
      </c>
      <c r="AA29" s="135"/>
      <c r="AD29" s="233"/>
      <c r="AE29" s="342"/>
    </row>
    <row r="30" spans="1:31" x14ac:dyDescent="0.25">
      <c r="A30" s="111">
        <v>28</v>
      </c>
      <c r="B30" s="110" t="s">
        <v>196</v>
      </c>
      <c r="C30" s="474">
        <v>0</v>
      </c>
      <c r="D30" s="474">
        <v>0</v>
      </c>
      <c r="E30" s="474">
        <v>0</v>
      </c>
      <c r="F30" s="474">
        <v>0</v>
      </c>
      <c r="G30" s="474">
        <v>0</v>
      </c>
      <c r="H30" s="300">
        <f t="shared" si="1"/>
        <v>0</v>
      </c>
      <c r="I30" s="129">
        <v>0</v>
      </c>
      <c r="J30" s="129">
        <v>0</v>
      </c>
      <c r="K30" s="129">
        <v>0</v>
      </c>
      <c r="L30" s="129">
        <v>0</v>
      </c>
      <c r="M30" s="129">
        <v>0</v>
      </c>
      <c r="N30" s="300">
        <f t="shared" si="2"/>
        <v>0</v>
      </c>
      <c r="O30" s="301"/>
      <c r="P30" s="129"/>
      <c r="Q30" s="129"/>
      <c r="R30" s="129"/>
      <c r="S30" s="129"/>
      <c r="T30" s="300">
        <f t="shared" si="3"/>
        <v>0</v>
      </c>
      <c r="U30" s="301"/>
      <c r="V30" s="129"/>
      <c r="W30" s="129"/>
      <c r="X30" s="129"/>
      <c r="Y30" s="129"/>
      <c r="Z30" s="300">
        <f t="shared" si="0"/>
        <v>0</v>
      </c>
      <c r="AA30" s="135"/>
      <c r="AD30" s="233"/>
      <c r="AE30" s="342"/>
    </row>
    <row r="31" spans="1:31" x14ac:dyDescent="0.25">
      <c r="A31" s="111">
        <v>29</v>
      </c>
      <c r="B31" s="110" t="s">
        <v>195</v>
      </c>
      <c r="C31" s="474">
        <v>19815.82</v>
      </c>
      <c r="D31" s="474">
        <v>0</v>
      </c>
      <c r="E31" s="474">
        <v>52258.6</v>
      </c>
      <c r="F31" s="474">
        <v>0</v>
      </c>
      <c r="G31" s="474">
        <v>0</v>
      </c>
      <c r="H31" s="300">
        <f t="shared" si="1"/>
        <v>72074.42</v>
      </c>
      <c r="I31" s="129">
        <v>0</v>
      </c>
      <c r="J31" s="129">
        <v>0</v>
      </c>
      <c r="K31" s="129">
        <v>51286.25</v>
      </c>
      <c r="L31" s="129">
        <v>0</v>
      </c>
      <c r="M31" s="129">
        <v>0</v>
      </c>
      <c r="N31" s="300">
        <f t="shared" si="2"/>
        <v>51286.25</v>
      </c>
      <c r="O31" s="301"/>
      <c r="P31" s="129"/>
      <c r="Q31" s="129"/>
      <c r="R31" s="129"/>
      <c r="S31" s="129"/>
      <c r="T31" s="300">
        <f t="shared" si="3"/>
        <v>0</v>
      </c>
      <c r="U31" s="301"/>
      <c r="V31" s="129"/>
      <c r="W31" s="129"/>
      <c r="X31" s="129"/>
      <c r="Y31" s="129"/>
      <c r="Z31" s="300">
        <f t="shared" si="0"/>
        <v>0</v>
      </c>
      <c r="AA31" s="135"/>
      <c r="AD31" s="233"/>
      <c r="AE31" s="342"/>
    </row>
    <row r="32" spans="1:31" x14ac:dyDescent="0.25">
      <c r="A32" s="111">
        <v>30</v>
      </c>
      <c r="B32" s="110" t="s">
        <v>194</v>
      </c>
      <c r="C32" s="474">
        <v>1839242.03</v>
      </c>
      <c r="D32" s="474">
        <v>0</v>
      </c>
      <c r="E32" s="474">
        <v>0</v>
      </c>
      <c r="F32" s="474">
        <v>0</v>
      </c>
      <c r="G32" s="474">
        <v>0</v>
      </c>
      <c r="H32" s="300">
        <f t="shared" si="1"/>
        <v>1839242.03</v>
      </c>
      <c r="I32" s="129">
        <v>41557.1</v>
      </c>
      <c r="J32" s="129">
        <v>0</v>
      </c>
      <c r="K32" s="129">
        <v>0</v>
      </c>
      <c r="L32" s="129">
        <v>0</v>
      </c>
      <c r="M32" s="129">
        <v>0</v>
      </c>
      <c r="N32" s="300">
        <f t="shared" si="2"/>
        <v>41557.1</v>
      </c>
      <c r="O32" s="301"/>
      <c r="P32" s="129"/>
      <c r="Q32" s="129"/>
      <c r="R32" s="129"/>
      <c r="S32" s="129"/>
      <c r="T32" s="300">
        <f t="shared" si="3"/>
        <v>0</v>
      </c>
      <c r="U32" s="301"/>
      <c r="V32" s="129"/>
      <c r="W32" s="129"/>
      <c r="X32" s="129"/>
      <c r="Y32" s="129"/>
      <c r="Z32" s="300">
        <f t="shared" si="0"/>
        <v>0</v>
      </c>
      <c r="AA32" s="135"/>
      <c r="AD32" s="233"/>
      <c r="AE32" s="342"/>
    </row>
    <row r="33" spans="1:31" x14ac:dyDescent="0.25">
      <c r="A33" s="111">
        <v>31</v>
      </c>
      <c r="B33" s="110" t="s">
        <v>193</v>
      </c>
      <c r="C33" s="474">
        <v>436460.56</v>
      </c>
      <c r="D33" s="474">
        <v>0</v>
      </c>
      <c r="E33" s="474">
        <v>0</v>
      </c>
      <c r="F33" s="474">
        <v>0</v>
      </c>
      <c r="G33" s="474">
        <v>0</v>
      </c>
      <c r="H33" s="300">
        <f t="shared" si="1"/>
        <v>436460.56</v>
      </c>
      <c r="I33" s="129">
        <v>2088340.25</v>
      </c>
      <c r="J33" s="129">
        <v>0</v>
      </c>
      <c r="K33" s="129">
        <v>0</v>
      </c>
      <c r="L33" s="129">
        <v>0</v>
      </c>
      <c r="M33" s="129">
        <v>0</v>
      </c>
      <c r="N33" s="300">
        <f t="shared" si="2"/>
        <v>2088340.25</v>
      </c>
      <c r="O33" s="301"/>
      <c r="P33" s="129"/>
      <c r="Q33" s="129"/>
      <c r="R33" s="129"/>
      <c r="S33" s="129"/>
      <c r="T33" s="300">
        <f t="shared" si="3"/>
        <v>0</v>
      </c>
      <c r="U33" s="301"/>
      <c r="V33" s="129"/>
      <c r="W33" s="129"/>
      <c r="X33" s="129"/>
      <c r="Y33" s="129"/>
      <c r="Z33" s="300">
        <f t="shared" si="0"/>
        <v>0</v>
      </c>
      <c r="AA33" s="135"/>
      <c r="AD33" s="233"/>
      <c r="AE33" s="342"/>
    </row>
    <row r="34" spans="1:31" x14ac:dyDescent="0.25">
      <c r="A34" s="111">
        <v>32</v>
      </c>
      <c r="B34" s="110" t="s">
        <v>192</v>
      </c>
      <c r="C34" s="474">
        <v>0</v>
      </c>
      <c r="D34" s="474">
        <v>0</v>
      </c>
      <c r="E34" s="474">
        <v>0</v>
      </c>
      <c r="F34" s="474">
        <v>0</v>
      </c>
      <c r="G34" s="474">
        <v>0</v>
      </c>
      <c r="H34" s="300">
        <f t="shared" si="1"/>
        <v>0</v>
      </c>
      <c r="I34" s="129">
        <v>0</v>
      </c>
      <c r="J34" s="129">
        <v>0</v>
      </c>
      <c r="K34" s="129">
        <v>0</v>
      </c>
      <c r="L34" s="129">
        <v>0</v>
      </c>
      <c r="M34" s="129">
        <v>0</v>
      </c>
      <c r="N34" s="300">
        <f t="shared" si="2"/>
        <v>0</v>
      </c>
      <c r="O34" s="301"/>
      <c r="P34" s="129"/>
      <c r="Q34" s="129"/>
      <c r="R34" s="129"/>
      <c r="S34" s="129"/>
      <c r="T34" s="300">
        <f t="shared" si="3"/>
        <v>0</v>
      </c>
      <c r="U34" s="301"/>
      <c r="V34" s="129"/>
      <c r="W34" s="129"/>
      <c r="X34" s="129"/>
      <c r="Y34" s="129"/>
      <c r="Z34" s="300">
        <f t="shared" si="0"/>
        <v>0</v>
      </c>
      <c r="AA34" s="135"/>
      <c r="AD34" s="233"/>
      <c r="AE34" s="342"/>
    </row>
    <row r="35" spans="1:31" x14ac:dyDescent="0.25">
      <c r="A35" s="111">
        <v>33</v>
      </c>
      <c r="B35" s="110" t="s">
        <v>191</v>
      </c>
      <c r="C35" s="474">
        <v>60610.26</v>
      </c>
      <c r="D35" s="474">
        <v>0</v>
      </c>
      <c r="E35" s="474">
        <v>0</v>
      </c>
      <c r="F35" s="474">
        <v>0</v>
      </c>
      <c r="G35" s="474">
        <v>0</v>
      </c>
      <c r="H35" s="300">
        <f t="shared" si="1"/>
        <v>60610.26</v>
      </c>
      <c r="I35" s="129">
        <v>377267.48</v>
      </c>
      <c r="J35" s="129">
        <v>0</v>
      </c>
      <c r="K35" s="129">
        <v>0</v>
      </c>
      <c r="L35" s="129">
        <v>0</v>
      </c>
      <c r="M35" s="129">
        <v>0</v>
      </c>
      <c r="N35" s="300">
        <f t="shared" si="2"/>
        <v>377267.48</v>
      </c>
      <c r="O35" s="301"/>
      <c r="P35" s="129"/>
      <c r="Q35" s="129"/>
      <c r="R35" s="129"/>
      <c r="S35" s="129"/>
      <c r="T35" s="300">
        <f t="shared" si="3"/>
        <v>0</v>
      </c>
      <c r="U35" s="301"/>
      <c r="V35" s="129"/>
      <c r="W35" s="129"/>
      <c r="X35" s="129"/>
      <c r="Y35" s="129"/>
      <c r="Z35" s="300">
        <f t="shared" ref="Z35:Z66" si="4">U35+V35+W35+X35+Y35</f>
        <v>0</v>
      </c>
      <c r="AA35" s="135"/>
      <c r="AD35" s="233"/>
      <c r="AE35" s="342"/>
    </row>
    <row r="36" spans="1:31" x14ac:dyDescent="0.25">
      <c r="A36" s="111">
        <v>34</v>
      </c>
      <c r="B36" s="110" t="s">
        <v>190</v>
      </c>
      <c r="C36" s="474">
        <v>0</v>
      </c>
      <c r="D36" s="474">
        <v>0</v>
      </c>
      <c r="E36" s="474">
        <v>0</v>
      </c>
      <c r="F36" s="474">
        <v>0</v>
      </c>
      <c r="G36" s="474">
        <v>0</v>
      </c>
      <c r="H36" s="300">
        <f t="shared" si="1"/>
        <v>0</v>
      </c>
      <c r="I36" s="129">
        <v>0</v>
      </c>
      <c r="J36" s="129">
        <v>0</v>
      </c>
      <c r="K36" s="129">
        <v>0</v>
      </c>
      <c r="L36" s="129">
        <v>0</v>
      </c>
      <c r="M36" s="129">
        <v>0</v>
      </c>
      <c r="N36" s="300">
        <f t="shared" si="2"/>
        <v>0</v>
      </c>
      <c r="O36" s="301"/>
      <c r="P36" s="129"/>
      <c r="Q36" s="129"/>
      <c r="R36" s="129"/>
      <c r="S36" s="129"/>
      <c r="T36" s="300">
        <f t="shared" si="3"/>
        <v>0</v>
      </c>
      <c r="U36" s="301"/>
      <c r="V36" s="129"/>
      <c r="W36" s="129"/>
      <c r="X36" s="129"/>
      <c r="Y36" s="129"/>
      <c r="Z36" s="300">
        <f t="shared" si="4"/>
        <v>0</v>
      </c>
      <c r="AA36" s="135"/>
      <c r="AD36" s="233"/>
      <c r="AE36" s="342"/>
    </row>
    <row r="37" spans="1:31" x14ac:dyDescent="0.25">
      <c r="A37" s="111">
        <v>35</v>
      </c>
      <c r="B37" s="110" t="s">
        <v>189</v>
      </c>
      <c r="C37" s="474">
        <v>152360.15</v>
      </c>
      <c r="D37" s="474">
        <v>0</v>
      </c>
      <c r="E37" s="474">
        <v>0</v>
      </c>
      <c r="F37" s="474">
        <v>0</v>
      </c>
      <c r="G37" s="474">
        <v>0</v>
      </c>
      <c r="H37" s="300">
        <f t="shared" si="1"/>
        <v>152360.15</v>
      </c>
      <c r="I37" s="129">
        <v>-30000</v>
      </c>
      <c r="J37" s="129">
        <v>0</v>
      </c>
      <c r="K37" s="129">
        <v>0</v>
      </c>
      <c r="L37" s="129">
        <v>0</v>
      </c>
      <c r="M37" s="129">
        <v>0</v>
      </c>
      <c r="N37" s="300">
        <f t="shared" si="2"/>
        <v>-30000</v>
      </c>
      <c r="O37" s="301"/>
      <c r="P37" s="129"/>
      <c r="Q37" s="129"/>
      <c r="R37" s="129"/>
      <c r="S37" s="129"/>
      <c r="T37" s="300">
        <f t="shared" si="3"/>
        <v>0</v>
      </c>
      <c r="U37" s="301"/>
      <c r="V37" s="129"/>
      <c r="W37" s="129"/>
      <c r="X37" s="129"/>
      <c r="Y37" s="129"/>
      <c r="Z37" s="300">
        <f t="shared" si="4"/>
        <v>0</v>
      </c>
      <c r="AA37" s="135"/>
      <c r="AD37" s="233"/>
      <c r="AE37" s="342"/>
    </row>
    <row r="38" spans="1:31" x14ac:dyDescent="0.25">
      <c r="A38" s="111">
        <v>36</v>
      </c>
      <c r="B38" s="110" t="s">
        <v>188</v>
      </c>
      <c r="C38" s="474">
        <v>45269.04</v>
      </c>
      <c r="D38" s="474">
        <v>0</v>
      </c>
      <c r="E38" s="474">
        <v>0</v>
      </c>
      <c r="F38" s="474">
        <v>0</v>
      </c>
      <c r="G38" s="474">
        <v>0</v>
      </c>
      <c r="H38" s="300">
        <f t="shared" si="1"/>
        <v>45269.04</v>
      </c>
      <c r="I38" s="129">
        <v>27884.720000000001</v>
      </c>
      <c r="J38" s="129">
        <v>0</v>
      </c>
      <c r="K38" s="129">
        <v>14025.45</v>
      </c>
      <c r="L38" s="129">
        <v>0</v>
      </c>
      <c r="M38" s="129">
        <v>0</v>
      </c>
      <c r="N38" s="300">
        <f t="shared" si="2"/>
        <v>41910.17</v>
      </c>
      <c r="O38" s="301"/>
      <c r="P38" s="129"/>
      <c r="Q38" s="129"/>
      <c r="R38" s="129"/>
      <c r="S38" s="129"/>
      <c r="T38" s="300">
        <f t="shared" si="3"/>
        <v>0</v>
      </c>
      <c r="U38" s="301"/>
      <c r="V38" s="129"/>
      <c r="W38" s="129"/>
      <c r="X38" s="129"/>
      <c r="Y38" s="129"/>
      <c r="Z38" s="300">
        <f t="shared" si="4"/>
        <v>0</v>
      </c>
      <c r="AA38" s="135"/>
      <c r="AD38" s="233"/>
      <c r="AE38" s="342"/>
    </row>
    <row r="39" spans="1:31" x14ac:dyDescent="0.25">
      <c r="A39" s="111">
        <v>37</v>
      </c>
      <c r="B39" s="110" t="s">
        <v>187</v>
      </c>
      <c r="C39" s="474">
        <v>215926.87</v>
      </c>
      <c r="D39" s="474">
        <v>0</v>
      </c>
      <c r="E39" s="474">
        <v>100721.84</v>
      </c>
      <c r="F39" s="474">
        <v>0</v>
      </c>
      <c r="G39" s="474">
        <v>0</v>
      </c>
      <c r="H39" s="300">
        <f t="shared" si="1"/>
        <v>316648.70999999996</v>
      </c>
      <c r="I39" s="129">
        <v>2695091.64</v>
      </c>
      <c r="J39" s="129">
        <v>0</v>
      </c>
      <c r="K39" s="129">
        <v>101921.78</v>
      </c>
      <c r="L39" s="129">
        <v>0</v>
      </c>
      <c r="M39" s="129">
        <v>0</v>
      </c>
      <c r="N39" s="300">
        <f t="shared" si="2"/>
        <v>2797013.42</v>
      </c>
      <c r="O39" s="301"/>
      <c r="P39" s="129"/>
      <c r="Q39" s="129"/>
      <c r="R39" s="129"/>
      <c r="S39" s="129"/>
      <c r="T39" s="300">
        <f t="shared" si="3"/>
        <v>0</v>
      </c>
      <c r="U39" s="301"/>
      <c r="V39" s="129"/>
      <c r="W39" s="129"/>
      <c r="X39" s="129"/>
      <c r="Y39" s="129"/>
      <c r="Z39" s="300">
        <f t="shared" si="4"/>
        <v>0</v>
      </c>
      <c r="AA39" s="135"/>
      <c r="AD39" s="233"/>
      <c r="AE39" s="342"/>
    </row>
    <row r="40" spans="1:31" x14ac:dyDescent="0.25">
      <c r="A40" s="111">
        <v>38</v>
      </c>
      <c r="B40" s="110" t="s">
        <v>186</v>
      </c>
      <c r="C40" s="474">
        <v>1375.26</v>
      </c>
      <c r="D40" s="474">
        <v>0</v>
      </c>
      <c r="E40" s="474">
        <v>0</v>
      </c>
      <c r="F40" s="474">
        <v>0</v>
      </c>
      <c r="G40" s="474">
        <v>0</v>
      </c>
      <c r="H40" s="300">
        <f t="shared" si="1"/>
        <v>1375.26</v>
      </c>
      <c r="I40" s="129">
        <v>426852.83</v>
      </c>
      <c r="J40" s="129">
        <v>0</v>
      </c>
      <c r="K40" s="129">
        <v>0</v>
      </c>
      <c r="L40" s="129">
        <v>0</v>
      </c>
      <c r="M40" s="129">
        <v>0</v>
      </c>
      <c r="N40" s="300">
        <f t="shared" si="2"/>
        <v>426852.83</v>
      </c>
      <c r="O40" s="301"/>
      <c r="P40" s="129"/>
      <c r="Q40" s="129"/>
      <c r="R40" s="129"/>
      <c r="S40" s="129"/>
      <c r="T40" s="300">
        <f t="shared" si="3"/>
        <v>0</v>
      </c>
      <c r="U40" s="301"/>
      <c r="V40" s="129"/>
      <c r="W40" s="129"/>
      <c r="X40" s="129"/>
      <c r="Y40" s="129"/>
      <c r="Z40" s="300">
        <f t="shared" si="4"/>
        <v>0</v>
      </c>
      <c r="AA40" s="135"/>
      <c r="AD40" s="233"/>
      <c r="AE40" s="342"/>
    </row>
    <row r="41" spans="1:31" x14ac:dyDescent="0.25">
      <c r="A41" s="111">
        <v>39</v>
      </c>
      <c r="B41" s="110" t="s">
        <v>185</v>
      </c>
      <c r="C41" s="474">
        <v>108046.36</v>
      </c>
      <c r="D41" s="474">
        <v>0</v>
      </c>
      <c r="E41" s="474">
        <v>0</v>
      </c>
      <c r="F41" s="474">
        <v>0</v>
      </c>
      <c r="G41" s="474">
        <v>0</v>
      </c>
      <c r="H41" s="300">
        <f t="shared" si="1"/>
        <v>108046.36</v>
      </c>
      <c r="I41" s="129">
        <v>323020.21999999997</v>
      </c>
      <c r="J41" s="129">
        <v>0</v>
      </c>
      <c r="K41" s="129">
        <v>0</v>
      </c>
      <c r="L41" s="129">
        <v>0</v>
      </c>
      <c r="M41" s="129">
        <v>0</v>
      </c>
      <c r="N41" s="300">
        <f t="shared" si="2"/>
        <v>323020.21999999997</v>
      </c>
      <c r="O41" s="301"/>
      <c r="P41" s="129"/>
      <c r="Q41" s="129"/>
      <c r="R41" s="129"/>
      <c r="S41" s="129"/>
      <c r="T41" s="300">
        <f t="shared" si="3"/>
        <v>0</v>
      </c>
      <c r="U41" s="301"/>
      <c r="V41" s="129"/>
      <c r="W41" s="129"/>
      <c r="X41" s="129"/>
      <c r="Y41" s="129"/>
      <c r="Z41" s="300">
        <f t="shared" si="4"/>
        <v>0</v>
      </c>
      <c r="AA41" s="135"/>
      <c r="AD41" s="233"/>
      <c r="AE41" s="342"/>
    </row>
    <row r="42" spans="1:31" x14ac:dyDescent="0.25">
      <c r="A42" s="111">
        <v>40</v>
      </c>
      <c r="B42" s="110" t="s">
        <v>184</v>
      </c>
      <c r="C42" s="474">
        <v>425250.32</v>
      </c>
      <c r="D42" s="474">
        <v>0</v>
      </c>
      <c r="E42" s="474">
        <v>3476.1</v>
      </c>
      <c r="F42" s="474">
        <v>0</v>
      </c>
      <c r="G42" s="474">
        <v>0</v>
      </c>
      <c r="H42" s="300">
        <f t="shared" si="1"/>
        <v>428726.42</v>
      </c>
      <c r="I42" s="129">
        <v>0</v>
      </c>
      <c r="J42" s="129">
        <v>0</v>
      </c>
      <c r="K42" s="129">
        <v>33550.6</v>
      </c>
      <c r="L42" s="129">
        <v>0</v>
      </c>
      <c r="M42" s="129">
        <v>0</v>
      </c>
      <c r="N42" s="300">
        <f t="shared" si="2"/>
        <v>33550.6</v>
      </c>
      <c r="O42" s="301"/>
      <c r="P42" s="129"/>
      <c r="Q42" s="129"/>
      <c r="R42" s="129"/>
      <c r="S42" s="129"/>
      <c r="T42" s="300">
        <f t="shared" si="3"/>
        <v>0</v>
      </c>
      <c r="U42" s="301"/>
      <c r="V42" s="129"/>
      <c r="W42" s="129"/>
      <c r="X42" s="129"/>
      <c r="Y42" s="129"/>
      <c r="Z42" s="300">
        <f t="shared" si="4"/>
        <v>0</v>
      </c>
      <c r="AA42" s="135"/>
      <c r="AD42" s="233"/>
      <c r="AE42" s="342"/>
    </row>
    <row r="43" spans="1:31" x14ac:dyDescent="0.25">
      <c r="A43" s="111">
        <v>41</v>
      </c>
      <c r="B43" s="110" t="s">
        <v>183</v>
      </c>
      <c r="C43" s="474">
        <v>1528669.84</v>
      </c>
      <c r="D43" s="474">
        <v>0</v>
      </c>
      <c r="E43" s="474">
        <v>0</v>
      </c>
      <c r="F43" s="474">
        <v>0</v>
      </c>
      <c r="G43" s="474">
        <v>0</v>
      </c>
      <c r="H43" s="300">
        <f t="shared" si="1"/>
        <v>1528669.84</v>
      </c>
      <c r="I43" s="129">
        <v>1316173.08</v>
      </c>
      <c r="J43" s="129">
        <v>0</v>
      </c>
      <c r="K43" s="129">
        <v>0</v>
      </c>
      <c r="L43" s="129">
        <v>0</v>
      </c>
      <c r="M43" s="129">
        <v>0</v>
      </c>
      <c r="N43" s="300">
        <f t="shared" si="2"/>
        <v>1316173.08</v>
      </c>
      <c r="O43" s="301"/>
      <c r="P43" s="129"/>
      <c r="Q43" s="129"/>
      <c r="R43" s="129"/>
      <c r="S43" s="129"/>
      <c r="T43" s="300">
        <f t="shared" si="3"/>
        <v>0</v>
      </c>
      <c r="U43" s="301"/>
      <c r="V43" s="129"/>
      <c r="W43" s="129"/>
      <c r="X43" s="129"/>
      <c r="Y43" s="129"/>
      <c r="Z43" s="300">
        <f t="shared" si="4"/>
        <v>0</v>
      </c>
      <c r="AA43" s="135"/>
      <c r="AD43" s="233"/>
      <c r="AE43" s="342"/>
    </row>
    <row r="44" spans="1:31" x14ac:dyDescent="0.25">
      <c r="A44" s="111">
        <v>42</v>
      </c>
      <c r="B44" s="110" t="s">
        <v>182</v>
      </c>
      <c r="C44" s="474">
        <v>2194062.48</v>
      </c>
      <c r="D44" s="474">
        <v>0</v>
      </c>
      <c r="E44" s="474">
        <v>0</v>
      </c>
      <c r="F44" s="474">
        <v>0</v>
      </c>
      <c r="G44" s="474">
        <v>0</v>
      </c>
      <c r="H44" s="300">
        <f t="shared" si="1"/>
        <v>2194062.48</v>
      </c>
      <c r="I44" s="129">
        <v>104744.03</v>
      </c>
      <c r="J44" s="129">
        <v>0</v>
      </c>
      <c r="K44" s="129">
        <v>0</v>
      </c>
      <c r="L44" s="129">
        <v>0</v>
      </c>
      <c r="M44" s="129">
        <v>0</v>
      </c>
      <c r="N44" s="300">
        <f t="shared" si="2"/>
        <v>104744.03</v>
      </c>
      <c r="O44" s="301"/>
      <c r="P44" s="129"/>
      <c r="Q44" s="129"/>
      <c r="R44" s="129"/>
      <c r="S44" s="129"/>
      <c r="T44" s="300">
        <f t="shared" si="3"/>
        <v>0</v>
      </c>
      <c r="U44" s="301"/>
      <c r="V44" s="129"/>
      <c r="W44" s="129"/>
      <c r="X44" s="129"/>
      <c r="Y44" s="129"/>
      <c r="Z44" s="300">
        <f t="shared" si="4"/>
        <v>0</v>
      </c>
      <c r="AA44" s="135"/>
      <c r="AD44" s="233"/>
      <c r="AE44" s="342"/>
    </row>
    <row r="45" spans="1:31" x14ac:dyDescent="0.25">
      <c r="A45" s="111">
        <v>43</v>
      </c>
      <c r="B45" s="110" t="s">
        <v>181</v>
      </c>
      <c r="C45" s="474">
        <v>1149108.27</v>
      </c>
      <c r="D45" s="474">
        <v>0</v>
      </c>
      <c r="E45" s="474">
        <v>0</v>
      </c>
      <c r="F45" s="474">
        <v>0</v>
      </c>
      <c r="G45" s="474">
        <v>0</v>
      </c>
      <c r="H45" s="300">
        <f t="shared" si="1"/>
        <v>1149108.27</v>
      </c>
      <c r="I45" s="129">
        <v>0</v>
      </c>
      <c r="J45" s="129">
        <v>0</v>
      </c>
      <c r="K45" s="129">
        <v>0</v>
      </c>
      <c r="L45" s="129">
        <v>0</v>
      </c>
      <c r="M45" s="129">
        <v>0</v>
      </c>
      <c r="N45" s="300">
        <f t="shared" si="2"/>
        <v>0</v>
      </c>
      <c r="O45" s="301"/>
      <c r="P45" s="129"/>
      <c r="Q45" s="129"/>
      <c r="R45" s="129"/>
      <c r="S45" s="129"/>
      <c r="T45" s="300">
        <f t="shared" si="3"/>
        <v>0</v>
      </c>
      <c r="U45" s="301"/>
      <c r="V45" s="129"/>
      <c r="W45" s="129"/>
      <c r="X45" s="129"/>
      <c r="Y45" s="129"/>
      <c r="Z45" s="300">
        <f t="shared" si="4"/>
        <v>0</v>
      </c>
      <c r="AA45" s="135"/>
      <c r="AD45" s="233"/>
      <c r="AE45" s="342"/>
    </row>
    <row r="46" spans="1:31" x14ac:dyDescent="0.25">
      <c r="A46" s="111">
        <v>44</v>
      </c>
      <c r="B46" s="110" t="s">
        <v>180</v>
      </c>
      <c r="C46" s="474">
        <v>385684.51</v>
      </c>
      <c r="D46" s="474">
        <v>0</v>
      </c>
      <c r="E46" s="474">
        <v>0</v>
      </c>
      <c r="F46" s="474">
        <v>0</v>
      </c>
      <c r="G46" s="474">
        <v>0</v>
      </c>
      <c r="H46" s="300">
        <f t="shared" si="1"/>
        <v>385684.51</v>
      </c>
      <c r="I46" s="129">
        <v>4388841.45</v>
      </c>
      <c r="J46" s="129">
        <v>0</v>
      </c>
      <c r="K46" s="129">
        <v>0</v>
      </c>
      <c r="L46" s="129">
        <v>0</v>
      </c>
      <c r="M46" s="129">
        <v>0</v>
      </c>
      <c r="N46" s="300">
        <f t="shared" si="2"/>
        <v>4388841.45</v>
      </c>
      <c r="O46" s="301"/>
      <c r="P46" s="129"/>
      <c r="Q46" s="129"/>
      <c r="R46" s="129"/>
      <c r="S46" s="129"/>
      <c r="T46" s="300">
        <f t="shared" si="3"/>
        <v>0</v>
      </c>
      <c r="U46" s="301"/>
      <c r="V46" s="129"/>
      <c r="W46" s="129"/>
      <c r="X46" s="129"/>
      <c r="Y46" s="129"/>
      <c r="Z46" s="300">
        <f t="shared" si="4"/>
        <v>0</v>
      </c>
      <c r="AA46" s="135"/>
      <c r="AD46" s="233"/>
      <c r="AE46" s="342"/>
    </row>
    <row r="47" spans="1:31" x14ac:dyDescent="0.25">
      <c r="A47" s="111">
        <v>45</v>
      </c>
      <c r="B47" s="110" t="s">
        <v>179</v>
      </c>
      <c r="C47" s="474">
        <v>1173709.31</v>
      </c>
      <c r="D47" s="474">
        <v>0</v>
      </c>
      <c r="E47" s="474">
        <v>21052.9</v>
      </c>
      <c r="F47" s="474">
        <v>0</v>
      </c>
      <c r="G47" s="474">
        <v>0</v>
      </c>
      <c r="H47" s="300">
        <f t="shared" si="1"/>
        <v>1194762.21</v>
      </c>
      <c r="I47" s="129">
        <v>1928569.88</v>
      </c>
      <c r="J47" s="129">
        <v>0</v>
      </c>
      <c r="K47" s="129">
        <v>0</v>
      </c>
      <c r="L47" s="129">
        <v>0</v>
      </c>
      <c r="M47" s="129">
        <v>0</v>
      </c>
      <c r="N47" s="300">
        <f t="shared" si="2"/>
        <v>1928569.88</v>
      </c>
      <c r="O47" s="301"/>
      <c r="P47" s="129"/>
      <c r="Q47" s="129"/>
      <c r="R47" s="129"/>
      <c r="S47" s="129"/>
      <c r="T47" s="300">
        <f t="shared" si="3"/>
        <v>0</v>
      </c>
      <c r="U47" s="301"/>
      <c r="V47" s="129"/>
      <c r="W47" s="129"/>
      <c r="X47" s="129"/>
      <c r="Y47" s="129"/>
      <c r="Z47" s="300">
        <f t="shared" si="4"/>
        <v>0</v>
      </c>
      <c r="AA47" s="135"/>
      <c r="AD47" s="233"/>
      <c r="AE47" s="342"/>
    </row>
    <row r="48" spans="1:31" x14ac:dyDescent="0.25">
      <c r="A48" s="111">
        <v>46</v>
      </c>
      <c r="B48" s="110" t="s">
        <v>178</v>
      </c>
      <c r="C48" s="474">
        <v>1215106.29</v>
      </c>
      <c r="D48" s="474">
        <v>0</v>
      </c>
      <c r="E48" s="474">
        <v>0</v>
      </c>
      <c r="F48" s="474">
        <v>0</v>
      </c>
      <c r="G48" s="474">
        <v>0</v>
      </c>
      <c r="H48" s="300">
        <f t="shared" si="1"/>
        <v>1215106.29</v>
      </c>
      <c r="I48" s="129">
        <v>36894.720000000001</v>
      </c>
      <c r="J48" s="129">
        <v>0</v>
      </c>
      <c r="K48" s="129">
        <v>0</v>
      </c>
      <c r="L48" s="129">
        <v>0</v>
      </c>
      <c r="M48" s="129">
        <v>0</v>
      </c>
      <c r="N48" s="300">
        <f t="shared" si="2"/>
        <v>36894.720000000001</v>
      </c>
      <c r="O48" s="301"/>
      <c r="P48" s="129"/>
      <c r="Q48" s="129"/>
      <c r="R48" s="129"/>
      <c r="S48" s="129"/>
      <c r="T48" s="300">
        <f t="shared" si="3"/>
        <v>0</v>
      </c>
      <c r="U48" s="301"/>
      <c r="V48" s="129"/>
      <c r="W48" s="129"/>
      <c r="X48" s="129"/>
      <c r="Y48" s="129"/>
      <c r="Z48" s="300">
        <f t="shared" si="4"/>
        <v>0</v>
      </c>
      <c r="AA48" s="135"/>
      <c r="AD48" s="233"/>
      <c r="AE48" s="342"/>
    </row>
    <row r="49" spans="1:31" x14ac:dyDescent="0.25">
      <c r="A49" s="111">
        <v>47</v>
      </c>
      <c r="B49" s="110" t="s">
        <v>177</v>
      </c>
      <c r="C49" s="474">
        <v>2505069.25</v>
      </c>
      <c r="D49" s="474">
        <v>0</v>
      </c>
      <c r="E49" s="474">
        <v>0</v>
      </c>
      <c r="F49" s="474">
        <v>0</v>
      </c>
      <c r="G49" s="474">
        <v>0</v>
      </c>
      <c r="H49" s="300">
        <f t="shared" si="1"/>
        <v>2505069.25</v>
      </c>
      <c r="I49" s="129">
        <v>4930467.6100000003</v>
      </c>
      <c r="J49" s="129">
        <v>0</v>
      </c>
      <c r="K49" s="129">
        <v>0</v>
      </c>
      <c r="L49" s="129">
        <v>0</v>
      </c>
      <c r="M49" s="129">
        <v>0</v>
      </c>
      <c r="N49" s="300">
        <f t="shared" si="2"/>
        <v>4930467.6100000003</v>
      </c>
      <c r="O49" s="301"/>
      <c r="P49" s="129"/>
      <c r="Q49" s="129"/>
      <c r="R49" s="129"/>
      <c r="S49" s="129"/>
      <c r="T49" s="300">
        <f t="shared" si="3"/>
        <v>0</v>
      </c>
      <c r="U49" s="301"/>
      <c r="V49" s="129"/>
      <c r="W49" s="129"/>
      <c r="X49" s="129"/>
      <c r="Y49" s="129"/>
      <c r="Z49" s="300">
        <f t="shared" si="4"/>
        <v>0</v>
      </c>
      <c r="AA49" s="135"/>
      <c r="AD49" s="233"/>
      <c r="AE49" s="342"/>
    </row>
    <row r="50" spans="1:31" x14ac:dyDescent="0.25">
      <c r="A50" s="111">
        <v>48</v>
      </c>
      <c r="B50" s="110" t="s">
        <v>176</v>
      </c>
      <c r="C50" s="474">
        <v>135650.26</v>
      </c>
      <c r="D50" s="474">
        <v>0</v>
      </c>
      <c r="E50" s="474">
        <v>0</v>
      </c>
      <c r="F50" s="474">
        <v>0</v>
      </c>
      <c r="G50" s="474">
        <v>0</v>
      </c>
      <c r="H50" s="300">
        <f t="shared" si="1"/>
        <v>135650.26</v>
      </c>
      <c r="I50" s="129">
        <v>-223500.69</v>
      </c>
      <c r="J50" s="129">
        <v>0</v>
      </c>
      <c r="K50" s="129">
        <v>0</v>
      </c>
      <c r="L50" s="129">
        <v>0</v>
      </c>
      <c r="M50" s="129">
        <v>0</v>
      </c>
      <c r="N50" s="300">
        <f t="shared" si="2"/>
        <v>-223500.69</v>
      </c>
      <c r="O50" s="301"/>
      <c r="P50" s="129"/>
      <c r="Q50" s="129"/>
      <c r="R50" s="129"/>
      <c r="S50" s="129"/>
      <c r="T50" s="300">
        <f t="shared" si="3"/>
        <v>0</v>
      </c>
      <c r="U50" s="301"/>
      <c r="V50" s="129"/>
      <c r="W50" s="129"/>
      <c r="X50" s="129"/>
      <c r="Y50" s="129"/>
      <c r="Z50" s="300">
        <f t="shared" si="4"/>
        <v>0</v>
      </c>
      <c r="AA50" s="135"/>
      <c r="AD50" s="233"/>
      <c r="AE50" s="342"/>
    </row>
    <row r="51" spans="1:31" x14ac:dyDescent="0.25">
      <c r="A51" s="111">
        <v>49</v>
      </c>
      <c r="B51" s="110" t="s">
        <v>175</v>
      </c>
      <c r="C51" s="474">
        <v>2085365.25</v>
      </c>
      <c r="D51" s="474">
        <v>0</v>
      </c>
      <c r="E51" s="474">
        <v>0</v>
      </c>
      <c r="F51" s="474">
        <v>0</v>
      </c>
      <c r="G51" s="474">
        <v>0</v>
      </c>
      <c r="H51" s="300">
        <f t="shared" si="1"/>
        <v>2085365.25</v>
      </c>
      <c r="I51" s="129">
        <v>408267.17</v>
      </c>
      <c r="J51" s="129">
        <v>0</v>
      </c>
      <c r="K51" s="129">
        <v>0</v>
      </c>
      <c r="L51" s="129">
        <v>0</v>
      </c>
      <c r="M51" s="129">
        <v>0</v>
      </c>
      <c r="N51" s="300">
        <f t="shared" si="2"/>
        <v>408267.17</v>
      </c>
      <c r="O51" s="301"/>
      <c r="P51" s="129"/>
      <c r="Q51" s="129"/>
      <c r="R51" s="129"/>
      <c r="S51" s="129"/>
      <c r="T51" s="300">
        <f t="shared" si="3"/>
        <v>0</v>
      </c>
      <c r="U51" s="301"/>
      <c r="V51" s="129"/>
      <c r="W51" s="129"/>
      <c r="X51" s="129"/>
      <c r="Y51" s="129"/>
      <c r="Z51" s="300">
        <f t="shared" si="4"/>
        <v>0</v>
      </c>
      <c r="AA51" s="135"/>
      <c r="AD51" s="233"/>
      <c r="AE51" s="342"/>
    </row>
    <row r="52" spans="1:31" x14ac:dyDescent="0.25">
      <c r="A52" s="111">
        <v>50</v>
      </c>
      <c r="B52" s="110" t="s">
        <v>174</v>
      </c>
      <c r="C52" s="474">
        <v>1459439.09</v>
      </c>
      <c r="D52" s="474">
        <v>0</v>
      </c>
      <c r="E52" s="474">
        <v>18213.91</v>
      </c>
      <c r="F52" s="474">
        <v>0</v>
      </c>
      <c r="G52" s="474">
        <v>0</v>
      </c>
      <c r="H52" s="300">
        <f t="shared" si="1"/>
        <v>1477653</v>
      </c>
      <c r="I52" s="129">
        <v>436742.43</v>
      </c>
      <c r="J52" s="129">
        <v>0</v>
      </c>
      <c r="K52" s="129">
        <v>12770.5</v>
      </c>
      <c r="L52" s="129">
        <v>0</v>
      </c>
      <c r="M52" s="129">
        <v>0</v>
      </c>
      <c r="N52" s="300">
        <f t="shared" si="2"/>
        <v>449512.93</v>
      </c>
      <c r="O52" s="301"/>
      <c r="P52" s="129"/>
      <c r="Q52" s="129"/>
      <c r="R52" s="129"/>
      <c r="S52" s="129"/>
      <c r="T52" s="300">
        <f t="shared" si="3"/>
        <v>0</v>
      </c>
      <c r="U52" s="301"/>
      <c r="V52" s="129"/>
      <c r="W52" s="129"/>
      <c r="X52" s="129"/>
      <c r="Y52" s="129"/>
      <c r="Z52" s="300">
        <f t="shared" si="4"/>
        <v>0</v>
      </c>
      <c r="AA52" s="135"/>
      <c r="AD52" s="233"/>
      <c r="AE52" s="342"/>
    </row>
    <row r="53" spans="1:31" x14ac:dyDescent="0.25">
      <c r="A53" s="111">
        <v>51</v>
      </c>
      <c r="B53" s="110" t="s">
        <v>173</v>
      </c>
      <c r="C53" s="474">
        <v>813142.7</v>
      </c>
      <c r="D53" s="474">
        <v>0</v>
      </c>
      <c r="E53" s="474">
        <v>0</v>
      </c>
      <c r="F53" s="474">
        <v>0</v>
      </c>
      <c r="G53" s="474">
        <v>0</v>
      </c>
      <c r="H53" s="300">
        <f t="shared" si="1"/>
        <v>813142.7</v>
      </c>
      <c r="I53" s="129">
        <v>698155.5</v>
      </c>
      <c r="J53" s="129">
        <v>0</v>
      </c>
      <c r="K53" s="129">
        <v>3021.38</v>
      </c>
      <c r="L53" s="129">
        <v>0</v>
      </c>
      <c r="M53" s="129">
        <v>0</v>
      </c>
      <c r="N53" s="300">
        <f t="shared" si="2"/>
        <v>701176.88</v>
      </c>
      <c r="O53" s="301"/>
      <c r="P53" s="129"/>
      <c r="Q53" s="129"/>
      <c r="R53" s="129"/>
      <c r="S53" s="129"/>
      <c r="T53" s="300">
        <f t="shared" si="3"/>
        <v>0</v>
      </c>
      <c r="U53" s="301"/>
      <c r="V53" s="129"/>
      <c r="W53" s="129"/>
      <c r="X53" s="129"/>
      <c r="Y53" s="129"/>
      <c r="Z53" s="300">
        <f t="shared" si="4"/>
        <v>0</v>
      </c>
      <c r="AA53" s="135"/>
      <c r="AD53" s="233"/>
      <c r="AE53" s="342"/>
    </row>
    <row r="54" spans="1:31" x14ac:dyDescent="0.25">
      <c r="A54" s="111">
        <v>52</v>
      </c>
      <c r="B54" s="110" t="s">
        <v>172</v>
      </c>
      <c r="C54" s="474">
        <v>2793264.15</v>
      </c>
      <c r="D54" s="474">
        <v>0</v>
      </c>
      <c r="E54" s="474">
        <v>0</v>
      </c>
      <c r="F54" s="474">
        <v>0</v>
      </c>
      <c r="G54" s="474">
        <v>0</v>
      </c>
      <c r="H54" s="300">
        <f t="shared" si="1"/>
        <v>2793264.15</v>
      </c>
      <c r="I54" s="129">
        <v>1678557.62</v>
      </c>
      <c r="J54" s="129">
        <v>0</v>
      </c>
      <c r="K54" s="129">
        <v>0</v>
      </c>
      <c r="L54" s="129">
        <v>0</v>
      </c>
      <c r="M54" s="129">
        <v>0</v>
      </c>
      <c r="N54" s="300">
        <f t="shared" si="2"/>
        <v>1678557.62</v>
      </c>
      <c r="O54" s="301"/>
      <c r="P54" s="129"/>
      <c r="Q54" s="129"/>
      <c r="R54" s="129"/>
      <c r="S54" s="129"/>
      <c r="T54" s="300">
        <f t="shared" si="3"/>
        <v>0</v>
      </c>
      <c r="U54" s="301"/>
      <c r="V54" s="129"/>
      <c r="W54" s="129"/>
      <c r="X54" s="129"/>
      <c r="Y54" s="129"/>
      <c r="Z54" s="300">
        <f t="shared" si="4"/>
        <v>0</v>
      </c>
      <c r="AA54" s="135"/>
      <c r="AD54" s="233"/>
      <c r="AE54" s="342"/>
    </row>
    <row r="55" spans="1:31" x14ac:dyDescent="0.25">
      <c r="A55" s="111">
        <v>53</v>
      </c>
      <c r="B55" s="110" t="s">
        <v>171</v>
      </c>
      <c r="C55" s="474">
        <v>158473.68</v>
      </c>
      <c r="D55" s="474">
        <v>0</v>
      </c>
      <c r="E55" s="474">
        <v>0</v>
      </c>
      <c r="F55" s="474">
        <v>0</v>
      </c>
      <c r="G55" s="474">
        <v>0</v>
      </c>
      <c r="H55" s="300">
        <f t="shared" si="1"/>
        <v>158473.68</v>
      </c>
      <c r="I55" s="129">
        <v>2587660.9500000002</v>
      </c>
      <c r="J55" s="129">
        <v>0</v>
      </c>
      <c r="K55" s="129">
        <v>0</v>
      </c>
      <c r="L55" s="129">
        <v>0</v>
      </c>
      <c r="M55" s="129">
        <v>0</v>
      </c>
      <c r="N55" s="300">
        <f t="shared" si="2"/>
        <v>2587660.9500000002</v>
      </c>
      <c r="O55" s="301"/>
      <c r="P55" s="129"/>
      <c r="Q55" s="129"/>
      <c r="R55" s="129"/>
      <c r="S55" s="129"/>
      <c r="T55" s="300">
        <f t="shared" si="3"/>
        <v>0</v>
      </c>
      <c r="U55" s="301"/>
      <c r="V55" s="129"/>
      <c r="W55" s="129"/>
      <c r="X55" s="129"/>
      <c r="Y55" s="129"/>
      <c r="Z55" s="300">
        <f t="shared" si="4"/>
        <v>0</v>
      </c>
      <c r="AA55" s="135"/>
      <c r="AD55" s="233"/>
      <c r="AE55" s="342"/>
    </row>
    <row r="56" spans="1:31" x14ac:dyDescent="0.25">
      <c r="A56" s="111">
        <v>54</v>
      </c>
      <c r="B56" s="110" t="s">
        <v>170</v>
      </c>
      <c r="C56" s="474">
        <v>626894.94999999995</v>
      </c>
      <c r="D56" s="474">
        <v>0</v>
      </c>
      <c r="E56" s="474">
        <v>0</v>
      </c>
      <c r="F56" s="474">
        <v>0</v>
      </c>
      <c r="G56" s="474">
        <v>0</v>
      </c>
      <c r="H56" s="300">
        <f t="shared" si="1"/>
        <v>626894.94999999995</v>
      </c>
      <c r="I56" s="129">
        <v>33159.39</v>
      </c>
      <c r="J56" s="129">
        <v>0</v>
      </c>
      <c r="K56" s="129">
        <v>0</v>
      </c>
      <c r="L56" s="129">
        <v>0</v>
      </c>
      <c r="M56" s="129">
        <v>0</v>
      </c>
      <c r="N56" s="300">
        <f t="shared" si="2"/>
        <v>33159.39</v>
      </c>
      <c r="O56" s="301"/>
      <c r="P56" s="129"/>
      <c r="Q56" s="129"/>
      <c r="R56" s="129"/>
      <c r="S56" s="129"/>
      <c r="T56" s="300">
        <f t="shared" si="3"/>
        <v>0</v>
      </c>
      <c r="U56" s="301"/>
      <c r="V56" s="129"/>
      <c r="W56" s="129"/>
      <c r="X56" s="129"/>
      <c r="Y56" s="129"/>
      <c r="Z56" s="300">
        <f t="shared" si="4"/>
        <v>0</v>
      </c>
      <c r="AA56" s="135"/>
      <c r="AD56" s="233"/>
      <c r="AE56" s="342"/>
    </row>
    <row r="57" spans="1:31" x14ac:dyDescent="0.25">
      <c r="A57" s="111">
        <v>55</v>
      </c>
      <c r="B57" s="110" t="s">
        <v>169</v>
      </c>
      <c r="C57" s="474">
        <v>597159.18000000005</v>
      </c>
      <c r="D57" s="474">
        <v>0</v>
      </c>
      <c r="E57" s="474">
        <v>0</v>
      </c>
      <c r="F57" s="474">
        <v>0</v>
      </c>
      <c r="G57" s="474">
        <v>0</v>
      </c>
      <c r="H57" s="300">
        <f t="shared" si="1"/>
        <v>597159.18000000005</v>
      </c>
      <c r="I57" s="129">
        <v>18871.95</v>
      </c>
      <c r="J57" s="129">
        <v>0</v>
      </c>
      <c r="K57" s="129">
        <v>0</v>
      </c>
      <c r="L57" s="129">
        <v>0</v>
      </c>
      <c r="M57" s="129">
        <v>0</v>
      </c>
      <c r="N57" s="300">
        <f t="shared" si="2"/>
        <v>18871.95</v>
      </c>
      <c r="O57" s="301"/>
      <c r="P57" s="129"/>
      <c r="Q57" s="129"/>
      <c r="R57" s="129"/>
      <c r="S57" s="129"/>
      <c r="T57" s="300">
        <f t="shared" si="3"/>
        <v>0</v>
      </c>
      <c r="U57" s="301"/>
      <c r="V57" s="129"/>
      <c r="W57" s="129"/>
      <c r="X57" s="129"/>
      <c r="Y57" s="129"/>
      <c r="Z57" s="300">
        <f t="shared" si="4"/>
        <v>0</v>
      </c>
      <c r="AA57" s="135"/>
      <c r="AD57" s="233"/>
      <c r="AE57" s="342"/>
    </row>
    <row r="58" spans="1:31" x14ac:dyDescent="0.25">
      <c r="A58" s="111">
        <v>56</v>
      </c>
      <c r="B58" s="110" t="s">
        <v>168</v>
      </c>
      <c r="C58" s="474">
        <v>2915661.34</v>
      </c>
      <c r="D58" s="474">
        <v>0</v>
      </c>
      <c r="E58" s="474">
        <v>0</v>
      </c>
      <c r="F58" s="474">
        <v>0</v>
      </c>
      <c r="G58" s="474">
        <v>0</v>
      </c>
      <c r="H58" s="300">
        <f t="shared" si="1"/>
        <v>2915661.34</v>
      </c>
      <c r="I58" s="129">
        <v>308274.06</v>
      </c>
      <c r="J58" s="129">
        <v>0</v>
      </c>
      <c r="K58" s="129">
        <v>0</v>
      </c>
      <c r="L58" s="129">
        <v>0</v>
      </c>
      <c r="M58" s="129">
        <v>0</v>
      </c>
      <c r="N58" s="300">
        <f t="shared" si="2"/>
        <v>308274.06</v>
      </c>
      <c r="O58" s="301"/>
      <c r="P58" s="129"/>
      <c r="Q58" s="129"/>
      <c r="R58" s="129"/>
      <c r="S58" s="129"/>
      <c r="T58" s="300">
        <f t="shared" si="3"/>
        <v>0</v>
      </c>
      <c r="U58" s="301"/>
      <c r="V58" s="129"/>
      <c r="W58" s="129"/>
      <c r="X58" s="129"/>
      <c r="Y58" s="129"/>
      <c r="Z58" s="300">
        <f t="shared" si="4"/>
        <v>0</v>
      </c>
      <c r="AA58" s="135"/>
      <c r="AD58" s="233"/>
      <c r="AE58" s="342"/>
    </row>
    <row r="59" spans="1:31" x14ac:dyDescent="0.25">
      <c r="A59" s="111">
        <v>57</v>
      </c>
      <c r="B59" s="110" t="s">
        <v>167</v>
      </c>
      <c r="C59" s="474">
        <v>11922.41</v>
      </c>
      <c r="D59" s="474">
        <v>0</v>
      </c>
      <c r="E59" s="474">
        <v>0</v>
      </c>
      <c r="F59" s="474">
        <v>0</v>
      </c>
      <c r="G59" s="474">
        <v>0</v>
      </c>
      <c r="H59" s="300">
        <f t="shared" si="1"/>
        <v>11922.41</v>
      </c>
      <c r="I59" s="129">
        <v>0</v>
      </c>
      <c r="J59" s="129">
        <v>0</v>
      </c>
      <c r="K59" s="129">
        <v>0</v>
      </c>
      <c r="L59" s="129">
        <v>0</v>
      </c>
      <c r="M59" s="129">
        <v>0</v>
      </c>
      <c r="N59" s="300">
        <f t="shared" si="2"/>
        <v>0</v>
      </c>
      <c r="O59" s="301"/>
      <c r="P59" s="129"/>
      <c r="Q59" s="129"/>
      <c r="R59" s="129"/>
      <c r="S59" s="129"/>
      <c r="T59" s="300">
        <f t="shared" si="3"/>
        <v>0</v>
      </c>
      <c r="U59" s="301"/>
      <c r="V59" s="129"/>
      <c r="W59" s="129"/>
      <c r="X59" s="129"/>
      <c r="Y59" s="129"/>
      <c r="Z59" s="300">
        <f t="shared" si="4"/>
        <v>0</v>
      </c>
      <c r="AA59" s="135"/>
      <c r="AD59" s="233"/>
      <c r="AE59" s="342"/>
    </row>
    <row r="60" spans="1:31" x14ac:dyDescent="0.25">
      <c r="A60" s="111">
        <v>58</v>
      </c>
      <c r="B60" s="110" t="s">
        <v>166</v>
      </c>
      <c r="C60" s="474">
        <v>0</v>
      </c>
      <c r="D60" s="474">
        <v>0</v>
      </c>
      <c r="E60" s="474">
        <v>0</v>
      </c>
      <c r="F60" s="474">
        <v>0</v>
      </c>
      <c r="G60" s="474">
        <v>0</v>
      </c>
      <c r="H60" s="300">
        <f t="shared" si="1"/>
        <v>0</v>
      </c>
      <c r="I60" s="129">
        <v>0</v>
      </c>
      <c r="J60" s="129">
        <v>0</v>
      </c>
      <c r="K60" s="129">
        <v>0</v>
      </c>
      <c r="L60" s="129">
        <v>0</v>
      </c>
      <c r="M60" s="129">
        <v>0</v>
      </c>
      <c r="N60" s="300">
        <f t="shared" si="2"/>
        <v>0</v>
      </c>
      <c r="O60" s="301"/>
      <c r="P60" s="129"/>
      <c r="Q60" s="129"/>
      <c r="R60" s="129"/>
      <c r="S60" s="129"/>
      <c r="T60" s="300">
        <f t="shared" si="3"/>
        <v>0</v>
      </c>
      <c r="U60" s="301"/>
      <c r="V60" s="129"/>
      <c r="W60" s="129"/>
      <c r="X60" s="129"/>
      <c r="Y60" s="129"/>
      <c r="Z60" s="300">
        <f t="shared" si="4"/>
        <v>0</v>
      </c>
      <c r="AA60" s="135"/>
      <c r="AD60" s="233"/>
      <c r="AE60" s="342"/>
    </row>
    <row r="61" spans="1:31" x14ac:dyDescent="0.25">
      <c r="A61" s="111">
        <v>59</v>
      </c>
      <c r="B61" s="110" t="s">
        <v>165</v>
      </c>
      <c r="C61" s="474">
        <v>4638.76</v>
      </c>
      <c r="D61" s="474">
        <v>0</v>
      </c>
      <c r="E61" s="474">
        <v>0</v>
      </c>
      <c r="F61" s="474">
        <v>0</v>
      </c>
      <c r="G61" s="474">
        <v>0</v>
      </c>
      <c r="H61" s="300">
        <f t="shared" si="1"/>
        <v>4638.76</v>
      </c>
      <c r="I61" s="129">
        <v>9462.1299999999992</v>
      </c>
      <c r="J61" s="129">
        <v>0</v>
      </c>
      <c r="K61" s="129">
        <v>0</v>
      </c>
      <c r="L61" s="129">
        <v>0</v>
      </c>
      <c r="M61" s="129">
        <v>0</v>
      </c>
      <c r="N61" s="300">
        <f t="shared" si="2"/>
        <v>9462.1299999999992</v>
      </c>
      <c r="O61" s="301"/>
      <c r="P61" s="129"/>
      <c r="Q61" s="129"/>
      <c r="R61" s="129"/>
      <c r="S61" s="129"/>
      <c r="T61" s="300">
        <f t="shared" si="3"/>
        <v>0</v>
      </c>
      <c r="U61" s="301"/>
      <c r="V61" s="129"/>
      <c r="W61" s="129"/>
      <c r="X61" s="129"/>
      <c r="Y61" s="129"/>
      <c r="Z61" s="300">
        <f t="shared" si="4"/>
        <v>0</v>
      </c>
      <c r="AA61" s="135"/>
      <c r="AD61" s="233"/>
      <c r="AE61" s="342"/>
    </row>
    <row r="62" spans="1:31" x14ac:dyDescent="0.25">
      <c r="A62" s="111">
        <v>60</v>
      </c>
      <c r="B62" s="110" t="s">
        <v>164</v>
      </c>
      <c r="C62" s="474">
        <v>2120651.6800000002</v>
      </c>
      <c r="D62" s="474">
        <v>0</v>
      </c>
      <c r="E62" s="474">
        <v>0</v>
      </c>
      <c r="F62" s="474">
        <v>0</v>
      </c>
      <c r="G62" s="474">
        <v>0</v>
      </c>
      <c r="H62" s="300">
        <f t="shared" si="1"/>
        <v>2120651.6800000002</v>
      </c>
      <c r="I62" s="129">
        <v>-2100</v>
      </c>
      <c r="J62" s="129">
        <v>0</v>
      </c>
      <c r="K62" s="129">
        <v>0</v>
      </c>
      <c r="L62" s="129">
        <v>0</v>
      </c>
      <c r="M62" s="129">
        <v>0</v>
      </c>
      <c r="N62" s="300">
        <f t="shared" si="2"/>
        <v>-2100</v>
      </c>
      <c r="O62" s="301"/>
      <c r="P62" s="129"/>
      <c r="Q62" s="129"/>
      <c r="R62" s="129"/>
      <c r="S62" s="129"/>
      <c r="T62" s="300">
        <f t="shared" si="3"/>
        <v>0</v>
      </c>
      <c r="U62" s="301"/>
      <c r="V62" s="129"/>
      <c r="W62" s="129"/>
      <c r="X62" s="129"/>
      <c r="Y62" s="129"/>
      <c r="Z62" s="300">
        <f t="shared" si="4"/>
        <v>0</v>
      </c>
      <c r="AA62" s="135"/>
      <c r="AD62" s="233"/>
      <c r="AE62" s="342"/>
    </row>
    <row r="63" spans="1:31" x14ac:dyDescent="0.25">
      <c r="A63" s="111">
        <v>61</v>
      </c>
      <c r="B63" s="110" t="s">
        <v>163</v>
      </c>
      <c r="C63" s="474">
        <v>156439.95000000001</v>
      </c>
      <c r="D63" s="474">
        <v>0</v>
      </c>
      <c r="E63" s="474">
        <v>19323.25</v>
      </c>
      <c r="F63" s="474">
        <v>0</v>
      </c>
      <c r="G63" s="474">
        <v>0</v>
      </c>
      <c r="H63" s="300">
        <f t="shared" si="1"/>
        <v>175763.20000000001</v>
      </c>
      <c r="I63" s="129">
        <v>6616.92</v>
      </c>
      <c r="J63" s="129">
        <v>0</v>
      </c>
      <c r="K63" s="129">
        <v>36246.639999999999</v>
      </c>
      <c r="L63" s="129">
        <v>0</v>
      </c>
      <c r="M63" s="129">
        <v>0</v>
      </c>
      <c r="N63" s="300">
        <f t="shared" si="2"/>
        <v>42863.56</v>
      </c>
      <c r="O63" s="301"/>
      <c r="P63" s="129"/>
      <c r="Q63" s="129"/>
      <c r="R63" s="129"/>
      <c r="S63" s="129"/>
      <c r="T63" s="300">
        <f t="shared" si="3"/>
        <v>0</v>
      </c>
      <c r="U63" s="301"/>
      <c r="V63" s="129"/>
      <c r="W63" s="129"/>
      <c r="X63" s="129"/>
      <c r="Y63" s="129"/>
      <c r="Z63" s="300">
        <f t="shared" si="4"/>
        <v>0</v>
      </c>
      <c r="AA63" s="135"/>
      <c r="AD63" s="233"/>
      <c r="AE63" s="342"/>
    </row>
    <row r="64" spans="1:31" x14ac:dyDescent="0.25">
      <c r="A64" s="111">
        <v>62</v>
      </c>
      <c r="B64" s="110" t="s">
        <v>162</v>
      </c>
      <c r="C64" s="474">
        <v>672926.04</v>
      </c>
      <c r="D64" s="474">
        <v>0</v>
      </c>
      <c r="E64" s="474">
        <v>0</v>
      </c>
      <c r="F64" s="474">
        <v>0</v>
      </c>
      <c r="G64" s="474">
        <v>0</v>
      </c>
      <c r="H64" s="300">
        <f t="shared" si="1"/>
        <v>672926.04</v>
      </c>
      <c r="I64" s="129">
        <v>18118.48</v>
      </c>
      <c r="J64" s="129">
        <v>0</v>
      </c>
      <c r="K64" s="129">
        <v>0</v>
      </c>
      <c r="L64" s="129">
        <v>0</v>
      </c>
      <c r="M64" s="129">
        <v>0</v>
      </c>
      <c r="N64" s="300">
        <f t="shared" si="2"/>
        <v>18118.48</v>
      </c>
      <c r="O64" s="301"/>
      <c r="P64" s="129"/>
      <c r="Q64" s="129"/>
      <c r="R64" s="129"/>
      <c r="S64" s="129"/>
      <c r="T64" s="300">
        <f t="shared" si="3"/>
        <v>0</v>
      </c>
      <c r="U64" s="301"/>
      <c r="V64" s="129"/>
      <c r="W64" s="129"/>
      <c r="X64" s="129"/>
      <c r="Y64" s="129"/>
      <c r="Z64" s="300">
        <f t="shared" si="4"/>
        <v>0</v>
      </c>
      <c r="AA64" s="135"/>
      <c r="AD64" s="233"/>
      <c r="AE64" s="342"/>
    </row>
    <row r="65" spans="1:31" x14ac:dyDescent="0.25">
      <c r="A65" s="111">
        <v>63</v>
      </c>
      <c r="B65" s="110" t="s">
        <v>161</v>
      </c>
      <c r="C65" s="474">
        <v>1212560.79</v>
      </c>
      <c r="D65" s="474">
        <v>0</v>
      </c>
      <c r="E65" s="474">
        <v>110697.63</v>
      </c>
      <c r="F65" s="474">
        <v>0</v>
      </c>
      <c r="G65" s="474">
        <v>0</v>
      </c>
      <c r="H65" s="300">
        <f t="shared" si="1"/>
        <v>1323258.42</v>
      </c>
      <c r="I65" s="129">
        <v>389077.08</v>
      </c>
      <c r="J65" s="129">
        <v>0</v>
      </c>
      <c r="K65" s="129">
        <v>0</v>
      </c>
      <c r="L65" s="129">
        <v>0</v>
      </c>
      <c r="M65" s="129">
        <v>0</v>
      </c>
      <c r="N65" s="300">
        <f t="shared" si="2"/>
        <v>389077.08</v>
      </c>
      <c r="O65" s="301"/>
      <c r="P65" s="129"/>
      <c r="Q65" s="129"/>
      <c r="R65" s="129"/>
      <c r="S65" s="129"/>
      <c r="T65" s="300">
        <f t="shared" si="3"/>
        <v>0</v>
      </c>
      <c r="U65" s="301"/>
      <c r="V65" s="129"/>
      <c r="W65" s="129"/>
      <c r="X65" s="129"/>
      <c r="Y65" s="129"/>
      <c r="Z65" s="300">
        <f t="shared" si="4"/>
        <v>0</v>
      </c>
      <c r="AA65" s="135"/>
      <c r="AD65" s="233"/>
      <c r="AE65" s="342"/>
    </row>
    <row r="66" spans="1:31" x14ac:dyDescent="0.25">
      <c r="A66" s="111">
        <v>64</v>
      </c>
      <c r="B66" s="110" t="s">
        <v>160</v>
      </c>
      <c r="C66" s="474">
        <v>67589.84</v>
      </c>
      <c r="D66" s="474">
        <v>0</v>
      </c>
      <c r="E66" s="474">
        <v>0</v>
      </c>
      <c r="F66" s="474">
        <v>0</v>
      </c>
      <c r="G66" s="474">
        <v>0</v>
      </c>
      <c r="H66" s="300">
        <f t="shared" si="1"/>
        <v>67589.84</v>
      </c>
      <c r="I66" s="129">
        <v>59798.21</v>
      </c>
      <c r="J66" s="129">
        <v>0</v>
      </c>
      <c r="K66" s="129">
        <v>0</v>
      </c>
      <c r="L66" s="129">
        <v>0</v>
      </c>
      <c r="M66" s="129">
        <v>0</v>
      </c>
      <c r="N66" s="300">
        <f t="shared" si="2"/>
        <v>59798.21</v>
      </c>
      <c r="O66" s="301"/>
      <c r="P66" s="129"/>
      <c r="Q66" s="129"/>
      <c r="R66" s="129"/>
      <c r="S66" s="129"/>
      <c r="T66" s="300">
        <f t="shared" si="3"/>
        <v>0</v>
      </c>
      <c r="U66" s="301"/>
      <c r="V66" s="129"/>
      <c r="W66" s="129"/>
      <c r="X66" s="129"/>
      <c r="Y66" s="129"/>
      <c r="Z66" s="300">
        <f t="shared" si="4"/>
        <v>0</v>
      </c>
      <c r="AA66" s="135"/>
      <c r="AD66" s="233"/>
      <c r="AE66" s="342"/>
    </row>
    <row r="67" spans="1:31" x14ac:dyDescent="0.25">
      <c r="A67" s="111">
        <v>65</v>
      </c>
      <c r="B67" s="110" t="s">
        <v>159</v>
      </c>
      <c r="C67" s="474">
        <v>734551.5</v>
      </c>
      <c r="D67" s="474">
        <v>0</v>
      </c>
      <c r="E67" s="474">
        <v>0</v>
      </c>
      <c r="F67" s="474">
        <v>0</v>
      </c>
      <c r="G67" s="474">
        <v>0</v>
      </c>
      <c r="H67" s="300">
        <f t="shared" si="1"/>
        <v>734551.5</v>
      </c>
      <c r="I67" s="129">
        <v>0</v>
      </c>
      <c r="J67" s="129">
        <v>0</v>
      </c>
      <c r="K67" s="129">
        <v>0</v>
      </c>
      <c r="L67" s="129">
        <v>0</v>
      </c>
      <c r="M67" s="129">
        <v>0</v>
      </c>
      <c r="N67" s="300">
        <f t="shared" si="2"/>
        <v>0</v>
      </c>
      <c r="O67" s="301"/>
      <c r="P67" s="129"/>
      <c r="Q67" s="129"/>
      <c r="R67" s="129"/>
      <c r="S67" s="129"/>
      <c r="T67" s="300">
        <f t="shared" si="3"/>
        <v>0</v>
      </c>
      <c r="U67" s="301"/>
      <c r="V67" s="129"/>
      <c r="W67" s="129"/>
      <c r="X67" s="129"/>
      <c r="Y67" s="129"/>
      <c r="Z67" s="300">
        <f t="shared" ref="Z67:Z98" si="5">U67+V67+W67+X67+Y67</f>
        <v>0</v>
      </c>
      <c r="AA67" s="135"/>
      <c r="AD67" s="233"/>
      <c r="AE67" s="342"/>
    </row>
    <row r="68" spans="1:31" x14ac:dyDescent="0.25">
      <c r="A68" s="111">
        <v>66</v>
      </c>
      <c r="B68" s="110" t="s">
        <v>158</v>
      </c>
      <c r="C68" s="474">
        <v>25471.9</v>
      </c>
      <c r="D68" s="474">
        <v>0</v>
      </c>
      <c r="E68" s="474">
        <v>0</v>
      </c>
      <c r="F68" s="474">
        <v>0</v>
      </c>
      <c r="G68" s="474">
        <v>0</v>
      </c>
      <c r="H68" s="300">
        <f t="shared" ref="H68:H101" si="6">C68+D68+E68+F68+G68</f>
        <v>25471.9</v>
      </c>
      <c r="I68" s="129">
        <v>425756.95</v>
      </c>
      <c r="J68" s="129">
        <v>0</v>
      </c>
      <c r="K68" s="129">
        <v>0</v>
      </c>
      <c r="L68" s="129">
        <v>0</v>
      </c>
      <c r="M68" s="129">
        <v>0</v>
      </c>
      <c r="N68" s="300">
        <f t="shared" ref="N68:N101" si="7">I68+J68+K68+L68+M68</f>
        <v>425756.95</v>
      </c>
      <c r="O68" s="301"/>
      <c r="P68" s="129"/>
      <c r="Q68" s="129"/>
      <c r="R68" s="129"/>
      <c r="S68" s="129"/>
      <c r="T68" s="300">
        <f t="shared" ref="T68:T101" si="8">O68+P68+Q68+R68+S68</f>
        <v>0</v>
      </c>
      <c r="U68" s="301"/>
      <c r="V68" s="129"/>
      <c r="W68" s="129"/>
      <c r="X68" s="129"/>
      <c r="Y68" s="129"/>
      <c r="Z68" s="300">
        <f t="shared" si="5"/>
        <v>0</v>
      </c>
      <c r="AA68" s="135"/>
      <c r="AD68" s="233"/>
      <c r="AE68" s="342"/>
    </row>
    <row r="69" spans="1:31" x14ac:dyDescent="0.25">
      <c r="A69" s="111">
        <v>67</v>
      </c>
      <c r="B69" s="110" t="s">
        <v>157</v>
      </c>
      <c r="C69" s="474">
        <v>321784.34999999998</v>
      </c>
      <c r="D69" s="474">
        <v>0</v>
      </c>
      <c r="E69" s="474">
        <v>0</v>
      </c>
      <c r="F69" s="474">
        <v>0</v>
      </c>
      <c r="G69" s="474">
        <v>0</v>
      </c>
      <c r="H69" s="300">
        <f t="shared" si="6"/>
        <v>321784.34999999998</v>
      </c>
      <c r="I69" s="129">
        <v>317443.15000000002</v>
      </c>
      <c r="J69" s="129">
        <v>0</v>
      </c>
      <c r="K69" s="129">
        <v>0</v>
      </c>
      <c r="L69" s="129">
        <v>0</v>
      </c>
      <c r="M69" s="129">
        <v>0</v>
      </c>
      <c r="N69" s="300">
        <f t="shared" si="7"/>
        <v>317443.15000000002</v>
      </c>
      <c r="O69" s="301"/>
      <c r="P69" s="129"/>
      <c r="Q69" s="129"/>
      <c r="R69" s="129"/>
      <c r="S69" s="129"/>
      <c r="T69" s="300">
        <f t="shared" si="8"/>
        <v>0</v>
      </c>
      <c r="U69" s="301"/>
      <c r="V69" s="129"/>
      <c r="W69" s="129"/>
      <c r="X69" s="129"/>
      <c r="Y69" s="129"/>
      <c r="Z69" s="300">
        <f t="shared" si="5"/>
        <v>0</v>
      </c>
      <c r="AA69" s="135"/>
      <c r="AD69" s="233"/>
      <c r="AE69" s="342"/>
    </row>
    <row r="70" spans="1:31" x14ac:dyDescent="0.25">
      <c r="A70" s="111">
        <v>68</v>
      </c>
      <c r="B70" s="110" t="s">
        <v>156</v>
      </c>
      <c r="C70" s="474">
        <v>30000.01</v>
      </c>
      <c r="D70" s="474">
        <v>0</v>
      </c>
      <c r="E70" s="474">
        <v>0</v>
      </c>
      <c r="F70" s="474">
        <v>0</v>
      </c>
      <c r="G70" s="474">
        <v>0</v>
      </c>
      <c r="H70" s="300">
        <f t="shared" si="6"/>
        <v>30000.01</v>
      </c>
      <c r="I70" s="129">
        <v>83</v>
      </c>
      <c r="J70" s="129">
        <v>0</v>
      </c>
      <c r="K70" s="129">
        <v>0</v>
      </c>
      <c r="L70" s="129">
        <v>0</v>
      </c>
      <c r="M70" s="129">
        <v>0</v>
      </c>
      <c r="N70" s="300">
        <f t="shared" si="7"/>
        <v>83</v>
      </c>
      <c r="O70" s="301"/>
      <c r="P70" s="129"/>
      <c r="Q70" s="129"/>
      <c r="R70" s="129"/>
      <c r="S70" s="129"/>
      <c r="T70" s="300">
        <f t="shared" si="8"/>
        <v>0</v>
      </c>
      <c r="U70" s="301"/>
      <c r="V70" s="129"/>
      <c r="W70" s="129"/>
      <c r="X70" s="129"/>
      <c r="Y70" s="129"/>
      <c r="Z70" s="300">
        <f t="shared" si="5"/>
        <v>0</v>
      </c>
      <c r="AA70" s="135"/>
      <c r="AD70" s="233"/>
      <c r="AE70" s="342"/>
    </row>
    <row r="71" spans="1:31" x14ac:dyDescent="0.25">
      <c r="A71" s="111">
        <v>69</v>
      </c>
      <c r="B71" s="110" t="s">
        <v>155</v>
      </c>
      <c r="C71" s="474">
        <v>1549659.66</v>
      </c>
      <c r="D71" s="474">
        <v>0</v>
      </c>
      <c r="E71" s="474">
        <v>0</v>
      </c>
      <c r="F71" s="474">
        <v>0</v>
      </c>
      <c r="G71" s="474">
        <v>0</v>
      </c>
      <c r="H71" s="300">
        <f t="shared" si="6"/>
        <v>1549659.66</v>
      </c>
      <c r="I71" s="129">
        <v>1343774.86</v>
      </c>
      <c r="J71" s="129">
        <v>0</v>
      </c>
      <c r="K71" s="129">
        <v>0</v>
      </c>
      <c r="L71" s="129">
        <v>0</v>
      </c>
      <c r="M71" s="129">
        <v>0</v>
      </c>
      <c r="N71" s="300">
        <f t="shared" si="7"/>
        <v>1343774.86</v>
      </c>
      <c r="O71" s="301"/>
      <c r="P71" s="129"/>
      <c r="Q71" s="129"/>
      <c r="R71" s="129"/>
      <c r="S71" s="129"/>
      <c r="T71" s="300">
        <f t="shared" si="8"/>
        <v>0</v>
      </c>
      <c r="U71" s="301"/>
      <c r="V71" s="129"/>
      <c r="W71" s="129"/>
      <c r="X71" s="129"/>
      <c r="Y71" s="129"/>
      <c r="Z71" s="300">
        <f t="shared" si="5"/>
        <v>0</v>
      </c>
      <c r="AA71" s="135"/>
      <c r="AD71" s="233"/>
      <c r="AE71" s="342"/>
    </row>
    <row r="72" spans="1:31" x14ac:dyDescent="0.25">
      <c r="A72" s="111">
        <v>70</v>
      </c>
      <c r="B72" s="110" t="s">
        <v>154</v>
      </c>
      <c r="C72" s="474">
        <v>203538.59</v>
      </c>
      <c r="D72" s="474">
        <v>0</v>
      </c>
      <c r="E72" s="474">
        <v>0</v>
      </c>
      <c r="F72" s="474">
        <v>0</v>
      </c>
      <c r="G72" s="474">
        <v>0</v>
      </c>
      <c r="H72" s="300">
        <f t="shared" si="6"/>
        <v>203538.59</v>
      </c>
      <c r="I72" s="129">
        <v>4044373.74</v>
      </c>
      <c r="J72" s="129">
        <v>0</v>
      </c>
      <c r="K72" s="129">
        <v>0</v>
      </c>
      <c r="L72" s="129">
        <v>0</v>
      </c>
      <c r="M72" s="129">
        <v>0</v>
      </c>
      <c r="N72" s="300">
        <f t="shared" si="7"/>
        <v>4044373.74</v>
      </c>
      <c r="O72" s="301"/>
      <c r="P72" s="129"/>
      <c r="Q72" s="129"/>
      <c r="R72" s="129"/>
      <c r="S72" s="129"/>
      <c r="T72" s="300">
        <f t="shared" si="8"/>
        <v>0</v>
      </c>
      <c r="U72" s="301"/>
      <c r="V72" s="129"/>
      <c r="W72" s="129"/>
      <c r="X72" s="129"/>
      <c r="Y72" s="129"/>
      <c r="Z72" s="300">
        <f t="shared" si="5"/>
        <v>0</v>
      </c>
      <c r="AA72" s="135"/>
      <c r="AD72" s="233"/>
      <c r="AE72" s="342"/>
    </row>
    <row r="73" spans="1:31" x14ac:dyDescent="0.25">
      <c r="A73" s="111">
        <v>71</v>
      </c>
      <c r="B73" s="110" t="s">
        <v>153</v>
      </c>
      <c r="C73" s="474">
        <v>3758725.72</v>
      </c>
      <c r="D73" s="474">
        <v>0</v>
      </c>
      <c r="E73" s="474">
        <v>0</v>
      </c>
      <c r="F73" s="474">
        <v>0</v>
      </c>
      <c r="G73" s="474">
        <v>0</v>
      </c>
      <c r="H73" s="300">
        <f t="shared" si="6"/>
        <v>3758725.72</v>
      </c>
      <c r="I73" s="129">
        <v>0</v>
      </c>
      <c r="J73" s="129">
        <v>0</v>
      </c>
      <c r="K73" s="129">
        <v>0</v>
      </c>
      <c r="L73" s="129">
        <v>0</v>
      </c>
      <c r="M73" s="129">
        <v>0</v>
      </c>
      <c r="N73" s="300">
        <f t="shared" si="7"/>
        <v>0</v>
      </c>
      <c r="O73" s="301"/>
      <c r="P73" s="129"/>
      <c r="Q73" s="129"/>
      <c r="R73" s="129"/>
      <c r="S73" s="129"/>
      <c r="T73" s="300">
        <f t="shared" si="8"/>
        <v>0</v>
      </c>
      <c r="U73" s="301"/>
      <c r="V73" s="129"/>
      <c r="W73" s="129"/>
      <c r="X73" s="129"/>
      <c r="Y73" s="129"/>
      <c r="Z73" s="300">
        <f t="shared" si="5"/>
        <v>0</v>
      </c>
      <c r="AA73" s="135"/>
      <c r="AD73" s="233"/>
      <c r="AE73" s="342"/>
    </row>
    <row r="74" spans="1:31" x14ac:dyDescent="0.25">
      <c r="A74" s="111">
        <v>72</v>
      </c>
      <c r="B74" s="110" t="s">
        <v>152</v>
      </c>
      <c r="C74" s="474">
        <v>6726.02</v>
      </c>
      <c r="D74" s="474">
        <v>0</v>
      </c>
      <c r="E74" s="474">
        <v>0</v>
      </c>
      <c r="F74" s="474">
        <v>0</v>
      </c>
      <c r="G74" s="474">
        <v>0</v>
      </c>
      <c r="H74" s="300">
        <f t="shared" si="6"/>
        <v>6726.02</v>
      </c>
      <c r="I74" s="129">
        <v>5765514.0199999996</v>
      </c>
      <c r="J74" s="129">
        <v>0</v>
      </c>
      <c r="K74" s="129">
        <v>0</v>
      </c>
      <c r="L74" s="129">
        <v>0</v>
      </c>
      <c r="M74" s="129">
        <v>0</v>
      </c>
      <c r="N74" s="300">
        <f t="shared" si="7"/>
        <v>5765514.0199999996</v>
      </c>
      <c r="O74" s="301"/>
      <c r="P74" s="129"/>
      <c r="Q74" s="129"/>
      <c r="R74" s="129"/>
      <c r="S74" s="129"/>
      <c r="T74" s="300">
        <f t="shared" si="8"/>
        <v>0</v>
      </c>
      <c r="U74" s="301"/>
      <c r="V74" s="129"/>
      <c r="W74" s="129"/>
      <c r="X74" s="129"/>
      <c r="Y74" s="129"/>
      <c r="Z74" s="300">
        <f t="shared" si="5"/>
        <v>0</v>
      </c>
      <c r="AA74" s="135"/>
      <c r="AD74" s="233"/>
      <c r="AE74" s="342"/>
    </row>
    <row r="75" spans="1:31" x14ac:dyDescent="0.25">
      <c r="A75" s="111">
        <v>73</v>
      </c>
      <c r="B75" s="110" t="s">
        <v>151</v>
      </c>
      <c r="C75" s="474">
        <v>1127805.78</v>
      </c>
      <c r="D75" s="474">
        <v>0</v>
      </c>
      <c r="E75" s="474">
        <v>0</v>
      </c>
      <c r="F75" s="474">
        <v>0</v>
      </c>
      <c r="G75" s="474">
        <v>0</v>
      </c>
      <c r="H75" s="300">
        <f t="shared" si="6"/>
        <v>1127805.78</v>
      </c>
      <c r="I75" s="129">
        <v>581046.23</v>
      </c>
      <c r="J75" s="129">
        <v>0</v>
      </c>
      <c r="K75" s="129">
        <v>0</v>
      </c>
      <c r="L75" s="129">
        <v>0</v>
      </c>
      <c r="M75" s="129">
        <v>0</v>
      </c>
      <c r="N75" s="300">
        <f t="shared" si="7"/>
        <v>581046.23</v>
      </c>
      <c r="O75" s="301"/>
      <c r="P75" s="129"/>
      <c r="Q75" s="129"/>
      <c r="R75" s="129"/>
      <c r="S75" s="129"/>
      <c r="T75" s="300">
        <f t="shared" si="8"/>
        <v>0</v>
      </c>
      <c r="U75" s="301"/>
      <c r="V75" s="129"/>
      <c r="W75" s="129"/>
      <c r="X75" s="129"/>
      <c r="Y75" s="129"/>
      <c r="Z75" s="300">
        <f t="shared" si="5"/>
        <v>0</v>
      </c>
      <c r="AA75" s="135"/>
      <c r="AD75" s="233"/>
      <c r="AE75" s="342"/>
    </row>
    <row r="76" spans="1:31" x14ac:dyDescent="0.25">
      <c r="A76" s="111">
        <v>74</v>
      </c>
      <c r="B76" s="110" t="s">
        <v>150</v>
      </c>
      <c r="C76" s="474">
        <v>29999</v>
      </c>
      <c r="D76" s="474">
        <v>0</v>
      </c>
      <c r="E76" s="474">
        <v>0</v>
      </c>
      <c r="F76" s="474">
        <v>0</v>
      </c>
      <c r="G76" s="474">
        <v>0</v>
      </c>
      <c r="H76" s="300">
        <f t="shared" si="6"/>
        <v>29999</v>
      </c>
      <c r="I76" s="129">
        <v>0</v>
      </c>
      <c r="J76" s="129">
        <v>0</v>
      </c>
      <c r="K76" s="129">
        <v>0</v>
      </c>
      <c r="L76" s="129">
        <v>0</v>
      </c>
      <c r="M76" s="129">
        <v>0</v>
      </c>
      <c r="N76" s="300">
        <f t="shared" si="7"/>
        <v>0</v>
      </c>
      <c r="O76" s="301"/>
      <c r="P76" s="129"/>
      <c r="Q76" s="129"/>
      <c r="R76" s="129"/>
      <c r="S76" s="129"/>
      <c r="T76" s="300">
        <f t="shared" si="8"/>
        <v>0</v>
      </c>
      <c r="U76" s="301"/>
      <c r="V76" s="129"/>
      <c r="W76" s="129"/>
      <c r="X76" s="129"/>
      <c r="Y76" s="129"/>
      <c r="Z76" s="300">
        <f t="shared" si="5"/>
        <v>0</v>
      </c>
      <c r="AA76" s="135"/>
      <c r="AD76" s="233"/>
      <c r="AE76" s="342"/>
    </row>
    <row r="77" spans="1:31" x14ac:dyDescent="0.25">
      <c r="A77" s="111">
        <v>75</v>
      </c>
      <c r="B77" s="110" t="s">
        <v>149</v>
      </c>
      <c r="C77" s="474">
        <v>2788013.88</v>
      </c>
      <c r="D77" s="474">
        <v>0</v>
      </c>
      <c r="E77" s="474">
        <v>0</v>
      </c>
      <c r="F77" s="474">
        <v>0</v>
      </c>
      <c r="G77" s="474">
        <v>0</v>
      </c>
      <c r="H77" s="300">
        <f t="shared" si="6"/>
        <v>2788013.88</v>
      </c>
      <c r="I77" s="129">
        <v>392720.81</v>
      </c>
      <c r="J77" s="129">
        <v>0</v>
      </c>
      <c r="K77" s="129">
        <v>0</v>
      </c>
      <c r="L77" s="129">
        <v>0</v>
      </c>
      <c r="M77" s="129">
        <v>0</v>
      </c>
      <c r="N77" s="300">
        <f t="shared" si="7"/>
        <v>392720.81</v>
      </c>
      <c r="O77" s="301"/>
      <c r="P77" s="129"/>
      <c r="Q77" s="129"/>
      <c r="R77" s="129"/>
      <c r="S77" s="129"/>
      <c r="T77" s="300">
        <f t="shared" si="8"/>
        <v>0</v>
      </c>
      <c r="U77" s="301"/>
      <c r="V77" s="129"/>
      <c r="W77" s="129"/>
      <c r="X77" s="129"/>
      <c r="Y77" s="129"/>
      <c r="Z77" s="300">
        <f t="shared" si="5"/>
        <v>0</v>
      </c>
      <c r="AA77" s="135"/>
      <c r="AD77" s="233"/>
      <c r="AE77" s="342"/>
    </row>
    <row r="78" spans="1:31" x14ac:dyDescent="0.25">
      <c r="A78" s="111">
        <v>76</v>
      </c>
      <c r="B78" s="110" t="s">
        <v>148</v>
      </c>
      <c r="C78" s="474">
        <v>2749431.3</v>
      </c>
      <c r="D78" s="474">
        <v>0</v>
      </c>
      <c r="E78" s="474">
        <v>0</v>
      </c>
      <c r="F78" s="474">
        <v>0</v>
      </c>
      <c r="G78" s="474">
        <v>0</v>
      </c>
      <c r="H78" s="300">
        <f t="shared" si="6"/>
        <v>2749431.3</v>
      </c>
      <c r="I78" s="129">
        <v>-2251.7800000000002</v>
      </c>
      <c r="J78" s="129">
        <v>0</v>
      </c>
      <c r="K78" s="129">
        <v>0</v>
      </c>
      <c r="L78" s="129">
        <v>0</v>
      </c>
      <c r="M78" s="129">
        <v>0</v>
      </c>
      <c r="N78" s="300">
        <f t="shared" si="7"/>
        <v>-2251.7800000000002</v>
      </c>
      <c r="O78" s="301"/>
      <c r="P78" s="129"/>
      <c r="Q78" s="129"/>
      <c r="R78" s="129"/>
      <c r="S78" s="129"/>
      <c r="T78" s="300">
        <f t="shared" si="8"/>
        <v>0</v>
      </c>
      <c r="U78" s="301"/>
      <c r="V78" s="129"/>
      <c r="W78" s="129"/>
      <c r="X78" s="129"/>
      <c r="Y78" s="129"/>
      <c r="Z78" s="300">
        <f t="shared" si="5"/>
        <v>0</v>
      </c>
      <c r="AA78" s="135"/>
      <c r="AD78" s="233"/>
      <c r="AE78" s="342"/>
    </row>
    <row r="79" spans="1:31" x14ac:dyDescent="0.25">
      <c r="A79" s="111">
        <v>77</v>
      </c>
      <c r="B79" s="110" t="s">
        <v>147</v>
      </c>
      <c r="C79" s="474">
        <v>4554192.41</v>
      </c>
      <c r="D79" s="474">
        <v>0</v>
      </c>
      <c r="E79" s="474">
        <v>0</v>
      </c>
      <c r="F79" s="474">
        <v>0</v>
      </c>
      <c r="G79" s="474">
        <v>0</v>
      </c>
      <c r="H79" s="300">
        <f t="shared" si="6"/>
        <v>4554192.41</v>
      </c>
      <c r="I79" s="129">
        <v>2752711.42</v>
      </c>
      <c r="J79" s="129">
        <v>0</v>
      </c>
      <c r="K79" s="129">
        <v>0</v>
      </c>
      <c r="L79" s="129">
        <v>0</v>
      </c>
      <c r="M79" s="129">
        <v>0</v>
      </c>
      <c r="N79" s="300">
        <f t="shared" si="7"/>
        <v>2752711.42</v>
      </c>
      <c r="O79" s="301"/>
      <c r="P79" s="129"/>
      <c r="Q79" s="129"/>
      <c r="R79" s="129"/>
      <c r="S79" s="129"/>
      <c r="T79" s="300">
        <f t="shared" si="8"/>
        <v>0</v>
      </c>
      <c r="U79" s="301"/>
      <c r="V79" s="129"/>
      <c r="W79" s="129"/>
      <c r="X79" s="129"/>
      <c r="Y79" s="129"/>
      <c r="Z79" s="300">
        <f t="shared" si="5"/>
        <v>0</v>
      </c>
      <c r="AA79" s="135"/>
      <c r="AD79" s="233"/>
      <c r="AE79" s="342"/>
    </row>
    <row r="80" spans="1:31" x14ac:dyDescent="0.25">
      <c r="A80" s="111">
        <v>78</v>
      </c>
      <c r="B80" s="110" t="s">
        <v>146</v>
      </c>
      <c r="C80" s="474">
        <v>40354.42</v>
      </c>
      <c r="D80" s="474">
        <v>0</v>
      </c>
      <c r="E80" s="474">
        <v>0</v>
      </c>
      <c r="F80" s="474">
        <v>0</v>
      </c>
      <c r="G80" s="474">
        <v>0</v>
      </c>
      <c r="H80" s="300">
        <f t="shared" si="6"/>
        <v>40354.42</v>
      </c>
      <c r="I80" s="129">
        <v>115401.31</v>
      </c>
      <c r="J80" s="129">
        <v>0</v>
      </c>
      <c r="K80" s="129">
        <v>0</v>
      </c>
      <c r="L80" s="129">
        <v>0</v>
      </c>
      <c r="M80" s="129">
        <v>0</v>
      </c>
      <c r="N80" s="300">
        <f t="shared" si="7"/>
        <v>115401.31</v>
      </c>
      <c r="O80" s="301"/>
      <c r="P80" s="129"/>
      <c r="Q80" s="129"/>
      <c r="R80" s="129"/>
      <c r="S80" s="129"/>
      <c r="T80" s="300">
        <f t="shared" si="8"/>
        <v>0</v>
      </c>
      <c r="U80" s="301"/>
      <c r="V80" s="129"/>
      <c r="W80" s="129"/>
      <c r="X80" s="129"/>
      <c r="Y80" s="129"/>
      <c r="Z80" s="300">
        <f t="shared" si="5"/>
        <v>0</v>
      </c>
      <c r="AA80" s="135"/>
      <c r="AD80" s="233"/>
      <c r="AE80" s="342"/>
    </row>
    <row r="81" spans="1:31" x14ac:dyDescent="0.25">
      <c r="A81" s="111">
        <v>79</v>
      </c>
      <c r="B81" s="110" t="s">
        <v>145</v>
      </c>
      <c r="C81" s="474">
        <v>30000</v>
      </c>
      <c r="D81" s="474">
        <v>0</v>
      </c>
      <c r="E81" s="474">
        <v>0</v>
      </c>
      <c r="F81" s="474">
        <v>0</v>
      </c>
      <c r="G81" s="474">
        <v>0</v>
      </c>
      <c r="H81" s="300">
        <f t="shared" si="6"/>
        <v>30000</v>
      </c>
      <c r="I81" s="129">
        <v>422271.56</v>
      </c>
      <c r="J81" s="129">
        <v>0</v>
      </c>
      <c r="K81" s="129">
        <v>0</v>
      </c>
      <c r="L81" s="129">
        <v>0</v>
      </c>
      <c r="M81" s="129">
        <v>0</v>
      </c>
      <c r="N81" s="300">
        <f t="shared" si="7"/>
        <v>422271.56</v>
      </c>
      <c r="O81" s="301"/>
      <c r="P81" s="129"/>
      <c r="Q81" s="129"/>
      <c r="R81" s="129"/>
      <c r="S81" s="129"/>
      <c r="T81" s="300">
        <f t="shared" si="8"/>
        <v>0</v>
      </c>
      <c r="U81" s="301"/>
      <c r="V81" s="129"/>
      <c r="W81" s="129"/>
      <c r="X81" s="129"/>
      <c r="Y81" s="129"/>
      <c r="Z81" s="300">
        <f t="shared" si="5"/>
        <v>0</v>
      </c>
      <c r="AA81" s="135"/>
      <c r="AD81" s="233"/>
      <c r="AE81" s="342"/>
    </row>
    <row r="82" spans="1:31" x14ac:dyDescent="0.25">
      <c r="A82" s="111">
        <v>80</v>
      </c>
      <c r="B82" s="110" t="s">
        <v>144</v>
      </c>
      <c r="C82" s="474">
        <v>0</v>
      </c>
      <c r="D82" s="474">
        <v>0</v>
      </c>
      <c r="E82" s="474">
        <v>0</v>
      </c>
      <c r="F82" s="474">
        <v>0</v>
      </c>
      <c r="G82" s="474">
        <v>0</v>
      </c>
      <c r="H82" s="300">
        <f t="shared" si="6"/>
        <v>0</v>
      </c>
      <c r="I82" s="129">
        <v>534015.17000000004</v>
      </c>
      <c r="J82" s="129">
        <v>0</v>
      </c>
      <c r="K82" s="129">
        <v>0</v>
      </c>
      <c r="L82" s="129">
        <v>0</v>
      </c>
      <c r="M82" s="129">
        <v>0</v>
      </c>
      <c r="N82" s="300">
        <f t="shared" si="7"/>
        <v>534015.17000000004</v>
      </c>
      <c r="O82" s="301"/>
      <c r="P82" s="129"/>
      <c r="Q82" s="129"/>
      <c r="R82" s="129"/>
      <c r="S82" s="129"/>
      <c r="T82" s="300">
        <f t="shared" si="8"/>
        <v>0</v>
      </c>
      <c r="U82" s="301"/>
      <c r="V82" s="129"/>
      <c r="W82" s="129"/>
      <c r="X82" s="129"/>
      <c r="Y82" s="129"/>
      <c r="Z82" s="300">
        <f t="shared" si="5"/>
        <v>0</v>
      </c>
      <c r="AA82" s="135"/>
      <c r="AD82" s="233"/>
      <c r="AE82" s="342"/>
    </row>
    <row r="83" spans="1:31" x14ac:dyDescent="0.25">
      <c r="A83" s="111">
        <v>81</v>
      </c>
      <c r="B83" s="110" t="s">
        <v>143</v>
      </c>
      <c r="C83" s="474">
        <v>20039.98</v>
      </c>
      <c r="D83" s="474">
        <v>0</v>
      </c>
      <c r="E83" s="474">
        <v>0</v>
      </c>
      <c r="F83" s="474">
        <v>0</v>
      </c>
      <c r="G83" s="474">
        <v>0</v>
      </c>
      <c r="H83" s="300">
        <f t="shared" si="6"/>
        <v>20039.98</v>
      </c>
      <c r="I83" s="129">
        <v>0</v>
      </c>
      <c r="J83" s="129">
        <v>0</v>
      </c>
      <c r="K83" s="129">
        <v>0</v>
      </c>
      <c r="L83" s="129">
        <v>0</v>
      </c>
      <c r="M83" s="129">
        <v>0</v>
      </c>
      <c r="N83" s="300">
        <f t="shared" si="7"/>
        <v>0</v>
      </c>
      <c r="O83" s="301"/>
      <c r="P83" s="129"/>
      <c r="Q83" s="129"/>
      <c r="R83" s="129"/>
      <c r="S83" s="129"/>
      <c r="T83" s="300">
        <f t="shared" si="8"/>
        <v>0</v>
      </c>
      <c r="U83" s="301"/>
      <c r="V83" s="129"/>
      <c r="W83" s="129"/>
      <c r="X83" s="129"/>
      <c r="Y83" s="129"/>
      <c r="Z83" s="300">
        <f t="shared" si="5"/>
        <v>0</v>
      </c>
      <c r="AA83" s="135"/>
      <c r="AD83" s="233"/>
      <c r="AE83" s="342"/>
    </row>
    <row r="84" spans="1:31" x14ac:dyDescent="0.25">
      <c r="A84" s="111">
        <v>82</v>
      </c>
      <c r="B84" s="110" t="s">
        <v>142</v>
      </c>
      <c r="C84" s="474">
        <v>2472359.1800000002</v>
      </c>
      <c r="D84" s="474">
        <v>0</v>
      </c>
      <c r="E84" s="474">
        <v>0</v>
      </c>
      <c r="F84" s="474">
        <v>0</v>
      </c>
      <c r="G84" s="474">
        <v>0</v>
      </c>
      <c r="H84" s="300">
        <f t="shared" si="6"/>
        <v>2472359.1800000002</v>
      </c>
      <c r="I84" s="129">
        <v>594720.1</v>
      </c>
      <c r="J84" s="129">
        <v>0</v>
      </c>
      <c r="K84" s="129">
        <v>0</v>
      </c>
      <c r="L84" s="129">
        <v>0</v>
      </c>
      <c r="M84" s="129">
        <v>0</v>
      </c>
      <c r="N84" s="300">
        <f t="shared" si="7"/>
        <v>594720.1</v>
      </c>
      <c r="O84" s="301"/>
      <c r="P84" s="129"/>
      <c r="Q84" s="129"/>
      <c r="R84" s="129"/>
      <c r="S84" s="129"/>
      <c r="T84" s="300">
        <f t="shared" si="8"/>
        <v>0</v>
      </c>
      <c r="U84" s="301"/>
      <c r="V84" s="129"/>
      <c r="W84" s="129"/>
      <c r="X84" s="129"/>
      <c r="Y84" s="129"/>
      <c r="Z84" s="300">
        <f t="shared" si="5"/>
        <v>0</v>
      </c>
      <c r="AA84" s="135"/>
      <c r="AD84" s="233"/>
      <c r="AE84" s="342"/>
    </row>
    <row r="85" spans="1:31" x14ac:dyDescent="0.25">
      <c r="A85" s="111">
        <v>83</v>
      </c>
      <c r="B85" s="110" t="s">
        <v>141</v>
      </c>
      <c r="C85" s="474">
        <v>261473.12</v>
      </c>
      <c r="D85" s="474">
        <v>0</v>
      </c>
      <c r="E85" s="474">
        <v>0</v>
      </c>
      <c r="F85" s="474">
        <v>0</v>
      </c>
      <c r="G85" s="474">
        <v>0</v>
      </c>
      <c r="H85" s="300">
        <f t="shared" si="6"/>
        <v>261473.12</v>
      </c>
      <c r="I85" s="129">
        <v>0</v>
      </c>
      <c r="J85" s="129">
        <v>0</v>
      </c>
      <c r="K85" s="129">
        <v>0</v>
      </c>
      <c r="L85" s="129">
        <v>0</v>
      </c>
      <c r="M85" s="129">
        <v>0</v>
      </c>
      <c r="N85" s="300">
        <f t="shared" si="7"/>
        <v>0</v>
      </c>
      <c r="O85" s="301"/>
      <c r="P85" s="129"/>
      <c r="Q85" s="129"/>
      <c r="R85" s="129"/>
      <c r="S85" s="129"/>
      <c r="T85" s="300">
        <f t="shared" si="8"/>
        <v>0</v>
      </c>
      <c r="U85" s="301"/>
      <c r="V85" s="129"/>
      <c r="W85" s="129"/>
      <c r="X85" s="129"/>
      <c r="Y85" s="129"/>
      <c r="Z85" s="300">
        <f t="shared" si="5"/>
        <v>0</v>
      </c>
      <c r="AA85" s="135"/>
      <c r="AD85" s="233"/>
      <c r="AE85" s="342"/>
    </row>
    <row r="86" spans="1:31" x14ac:dyDescent="0.25">
      <c r="A86" s="111">
        <v>84</v>
      </c>
      <c r="B86" s="110" t="s">
        <v>140</v>
      </c>
      <c r="C86" s="474">
        <v>2190694.5</v>
      </c>
      <c r="D86" s="474">
        <v>0</v>
      </c>
      <c r="E86" s="474">
        <v>0</v>
      </c>
      <c r="F86" s="474">
        <v>0</v>
      </c>
      <c r="G86" s="474">
        <v>0</v>
      </c>
      <c r="H86" s="300">
        <f t="shared" si="6"/>
        <v>2190694.5</v>
      </c>
      <c r="I86" s="129">
        <v>822960.11</v>
      </c>
      <c r="J86" s="129">
        <v>0</v>
      </c>
      <c r="K86" s="129">
        <v>0</v>
      </c>
      <c r="L86" s="129">
        <v>0</v>
      </c>
      <c r="M86" s="129">
        <v>0</v>
      </c>
      <c r="N86" s="300">
        <f t="shared" si="7"/>
        <v>822960.11</v>
      </c>
      <c r="O86" s="301"/>
      <c r="P86" s="129"/>
      <c r="Q86" s="129"/>
      <c r="R86" s="129"/>
      <c r="S86" s="129"/>
      <c r="T86" s="300">
        <f t="shared" si="8"/>
        <v>0</v>
      </c>
      <c r="U86" s="301"/>
      <c r="V86" s="129"/>
      <c r="W86" s="129"/>
      <c r="X86" s="129"/>
      <c r="Y86" s="129"/>
      <c r="Z86" s="300">
        <f t="shared" si="5"/>
        <v>0</v>
      </c>
      <c r="AA86" s="135"/>
      <c r="AD86" s="233"/>
      <c r="AE86" s="342"/>
    </row>
    <row r="87" spans="1:31" x14ac:dyDescent="0.25">
      <c r="A87" s="111">
        <v>85</v>
      </c>
      <c r="B87" s="110" t="s">
        <v>139</v>
      </c>
      <c r="C87" s="474">
        <v>1868747.53</v>
      </c>
      <c r="D87" s="474">
        <v>0</v>
      </c>
      <c r="E87" s="474">
        <v>0</v>
      </c>
      <c r="F87" s="474">
        <v>0</v>
      </c>
      <c r="G87" s="474">
        <v>0</v>
      </c>
      <c r="H87" s="300">
        <f t="shared" si="6"/>
        <v>1868747.53</v>
      </c>
      <c r="I87" s="129">
        <v>1614030.64</v>
      </c>
      <c r="J87" s="129">
        <v>0</v>
      </c>
      <c r="K87" s="129">
        <v>0</v>
      </c>
      <c r="L87" s="129">
        <v>0</v>
      </c>
      <c r="M87" s="129">
        <v>0</v>
      </c>
      <c r="N87" s="300">
        <f t="shared" si="7"/>
        <v>1614030.64</v>
      </c>
      <c r="O87" s="301"/>
      <c r="P87" s="129"/>
      <c r="Q87" s="129"/>
      <c r="R87" s="129"/>
      <c r="S87" s="129"/>
      <c r="T87" s="300">
        <f t="shared" si="8"/>
        <v>0</v>
      </c>
      <c r="U87" s="301"/>
      <c r="V87" s="129"/>
      <c r="W87" s="129"/>
      <c r="X87" s="129"/>
      <c r="Y87" s="129"/>
      <c r="Z87" s="300">
        <f t="shared" si="5"/>
        <v>0</v>
      </c>
      <c r="AA87" s="135"/>
      <c r="AD87" s="233"/>
      <c r="AE87" s="342"/>
    </row>
    <row r="88" spans="1:31" x14ac:dyDescent="0.25">
      <c r="A88" s="111">
        <v>86</v>
      </c>
      <c r="B88" s="110" t="s">
        <v>138</v>
      </c>
      <c r="C88" s="474">
        <v>0</v>
      </c>
      <c r="D88" s="474">
        <v>0</v>
      </c>
      <c r="E88" s="474">
        <v>0</v>
      </c>
      <c r="F88" s="474">
        <v>0</v>
      </c>
      <c r="G88" s="474">
        <v>0</v>
      </c>
      <c r="H88" s="300">
        <f t="shared" si="6"/>
        <v>0</v>
      </c>
      <c r="I88" s="129">
        <v>852.91</v>
      </c>
      <c r="J88" s="129">
        <v>0</v>
      </c>
      <c r="K88" s="129">
        <v>0</v>
      </c>
      <c r="L88" s="129">
        <v>0</v>
      </c>
      <c r="M88" s="129">
        <v>0</v>
      </c>
      <c r="N88" s="300">
        <f t="shared" si="7"/>
        <v>852.91</v>
      </c>
      <c r="O88" s="301"/>
      <c r="P88" s="129"/>
      <c r="Q88" s="129"/>
      <c r="R88" s="129"/>
      <c r="S88" s="129"/>
      <c r="T88" s="300">
        <f t="shared" si="8"/>
        <v>0</v>
      </c>
      <c r="U88" s="301"/>
      <c r="V88" s="129"/>
      <c r="W88" s="129"/>
      <c r="X88" s="129"/>
      <c r="Y88" s="129"/>
      <c r="Z88" s="300">
        <f t="shared" si="5"/>
        <v>0</v>
      </c>
      <c r="AA88" s="135"/>
      <c r="AD88" s="233"/>
      <c r="AE88" s="342"/>
    </row>
    <row r="89" spans="1:31" x14ac:dyDescent="0.25">
      <c r="A89" s="111">
        <v>87</v>
      </c>
      <c r="B89" s="110" t="s">
        <v>137</v>
      </c>
      <c r="C89" s="474">
        <v>1353690.52</v>
      </c>
      <c r="D89" s="474">
        <v>0</v>
      </c>
      <c r="E89" s="474">
        <v>0</v>
      </c>
      <c r="F89" s="474">
        <v>0</v>
      </c>
      <c r="G89" s="474">
        <v>0</v>
      </c>
      <c r="H89" s="300">
        <f t="shared" si="6"/>
        <v>1353690.52</v>
      </c>
      <c r="I89" s="129">
        <v>1223004.19</v>
      </c>
      <c r="J89" s="129">
        <v>0</v>
      </c>
      <c r="K89" s="129">
        <v>0</v>
      </c>
      <c r="L89" s="129">
        <v>0</v>
      </c>
      <c r="M89" s="129">
        <v>0</v>
      </c>
      <c r="N89" s="300">
        <f t="shared" si="7"/>
        <v>1223004.19</v>
      </c>
      <c r="O89" s="301"/>
      <c r="P89" s="129"/>
      <c r="Q89" s="129"/>
      <c r="R89" s="129"/>
      <c r="S89" s="129"/>
      <c r="T89" s="300">
        <f t="shared" si="8"/>
        <v>0</v>
      </c>
      <c r="U89" s="301"/>
      <c r="V89" s="129"/>
      <c r="W89" s="129"/>
      <c r="X89" s="129"/>
      <c r="Y89" s="129"/>
      <c r="Z89" s="300">
        <f t="shared" si="5"/>
        <v>0</v>
      </c>
      <c r="AA89" s="135"/>
      <c r="AD89" s="233"/>
      <c r="AE89" s="342"/>
    </row>
    <row r="90" spans="1:31" x14ac:dyDescent="0.25">
      <c r="A90" s="111">
        <v>88</v>
      </c>
      <c r="B90" s="110" t="s">
        <v>136</v>
      </c>
      <c r="C90" s="474">
        <v>57028.57</v>
      </c>
      <c r="D90" s="474">
        <v>0</v>
      </c>
      <c r="E90" s="474">
        <v>3591.5</v>
      </c>
      <c r="F90" s="474">
        <v>0</v>
      </c>
      <c r="G90" s="474">
        <v>0</v>
      </c>
      <c r="H90" s="300">
        <f t="shared" si="6"/>
        <v>60620.07</v>
      </c>
      <c r="I90" s="129">
        <v>1763.77</v>
      </c>
      <c r="J90" s="129">
        <v>0</v>
      </c>
      <c r="K90" s="129">
        <v>24122</v>
      </c>
      <c r="L90" s="129">
        <v>0</v>
      </c>
      <c r="M90" s="129">
        <v>0</v>
      </c>
      <c r="N90" s="300">
        <f t="shared" si="7"/>
        <v>25885.77</v>
      </c>
      <c r="O90" s="301"/>
      <c r="P90" s="129"/>
      <c r="Q90" s="129"/>
      <c r="R90" s="129"/>
      <c r="S90" s="129"/>
      <c r="T90" s="300">
        <f t="shared" si="8"/>
        <v>0</v>
      </c>
      <c r="U90" s="301"/>
      <c r="V90" s="129"/>
      <c r="W90" s="129"/>
      <c r="X90" s="129"/>
      <c r="Y90" s="129"/>
      <c r="Z90" s="300">
        <f t="shared" si="5"/>
        <v>0</v>
      </c>
      <c r="AA90" s="135"/>
      <c r="AD90" s="233"/>
      <c r="AE90" s="342"/>
    </row>
    <row r="91" spans="1:31" x14ac:dyDescent="0.25">
      <c r="A91" s="111">
        <v>89</v>
      </c>
      <c r="B91" s="110" t="s">
        <v>135</v>
      </c>
      <c r="C91" s="474">
        <v>65011.06</v>
      </c>
      <c r="D91" s="474">
        <v>0</v>
      </c>
      <c r="E91" s="474">
        <v>0</v>
      </c>
      <c r="F91" s="474">
        <v>0</v>
      </c>
      <c r="G91" s="474">
        <v>0</v>
      </c>
      <c r="H91" s="300">
        <f t="shared" si="6"/>
        <v>65011.06</v>
      </c>
      <c r="I91" s="129">
        <v>42632.15</v>
      </c>
      <c r="J91" s="129">
        <v>0</v>
      </c>
      <c r="K91" s="129">
        <v>0</v>
      </c>
      <c r="L91" s="129">
        <v>0</v>
      </c>
      <c r="M91" s="129">
        <v>0</v>
      </c>
      <c r="N91" s="300">
        <f t="shared" si="7"/>
        <v>42632.15</v>
      </c>
      <c r="O91" s="301"/>
      <c r="P91" s="129"/>
      <c r="Q91" s="129"/>
      <c r="R91" s="129"/>
      <c r="S91" s="129"/>
      <c r="T91" s="300">
        <f t="shared" si="8"/>
        <v>0</v>
      </c>
      <c r="U91" s="301"/>
      <c r="V91" s="129"/>
      <c r="W91" s="129"/>
      <c r="X91" s="129"/>
      <c r="Y91" s="129"/>
      <c r="Z91" s="300">
        <f t="shared" si="5"/>
        <v>0</v>
      </c>
      <c r="AA91" s="135"/>
      <c r="AD91" s="233"/>
      <c r="AE91" s="342"/>
    </row>
    <row r="92" spans="1:31" x14ac:dyDescent="0.25">
      <c r="A92" s="111">
        <v>90</v>
      </c>
      <c r="B92" s="110" t="s">
        <v>134</v>
      </c>
      <c r="C92" s="474">
        <v>4966.3999999999996</v>
      </c>
      <c r="D92" s="474">
        <v>0</v>
      </c>
      <c r="E92" s="474">
        <v>0</v>
      </c>
      <c r="F92" s="474">
        <v>0</v>
      </c>
      <c r="G92" s="474">
        <v>0</v>
      </c>
      <c r="H92" s="300">
        <f t="shared" si="6"/>
        <v>4966.3999999999996</v>
      </c>
      <c r="I92" s="129">
        <v>29542.34</v>
      </c>
      <c r="J92" s="129">
        <v>0</v>
      </c>
      <c r="K92" s="129">
        <v>0</v>
      </c>
      <c r="L92" s="129">
        <v>0</v>
      </c>
      <c r="M92" s="129">
        <v>0</v>
      </c>
      <c r="N92" s="300">
        <f t="shared" si="7"/>
        <v>29542.34</v>
      </c>
      <c r="O92" s="301"/>
      <c r="P92" s="129"/>
      <c r="Q92" s="129"/>
      <c r="R92" s="129"/>
      <c r="S92" s="129"/>
      <c r="T92" s="300">
        <f t="shared" si="8"/>
        <v>0</v>
      </c>
      <c r="U92" s="301"/>
      <c r="V92" s="129"/>
      <c r="W92" s="129"/>
      <c r="X92" s="129"/>
      <c r="Y92" s="129"/>
      <c r="Z92" s="300">
        <f t="shared" si="5"/>
        <v>0</v>
      </c>
      <c r="AA92" s="135"/>
      <c r="AD92" s="233"/>
      <c r="AE92" s="342"/>
    </row>
    <row r="93" spans="1:31" x14ac:dyDescent="0.25">
      <c r="A93" s="111">
        <v>91</v>
      </c>
      <c r="B93" s="110" t="s">
        <v>133</v>
      </c>
      <c r="C93" s="474">
        <v>13624.08</v>
      </c>
      <c r="D93" s="474">
        <v>0</v>
      </c>
      <c r="E93" s="474">
        <v>0</v>
      </c>
      <c r="F93" s="474">
        <v>0</v>
      </c>
      <c r="G93" s="474">
        <v>0</v>
      </c>
      <c r="H93" s="300">
        <f t="shared" si="6"/>
        <v>13624.08</v>
      </c>
      <c r="I93" s="129">
        <v>30000</v>
      </c>
      <c r="J93" s="129">
        <v>0</v>
      </c>
      <c r="K93" s="129">
        <v>0</v>
      </c>
      <c r="L93" s="129">
        <v>0</v>
      </c>
      <c r="M93" s="129">
        <v>0</v>
      </c>
      <c r="N93" s="300">
        <f t="shared" si="7"/>
        <v>30000</v>
      </c>
      <c r="O93" s="301"/>
      <c r="P93" s="129"/>
      <c r="Q93" s="129"/>
      <c r="R93" s="129"/>
      <c r="S93" s="129"/>
      <c r="T93" s="300">
        <f t="shared" si="8"/>
        <v>0</v>
      </c>
      <c r="U93" s="301"/>
      <c r="V93" s="129"/>
      <c r="W93" s="129"/>
      <c r="X93" s="129"/>
      <c r="Y93" s="129"/>
      <c r="Z93" s="300">
        <f t="shared" si="5"/>
        <v>0</v>
      </c>
      <c r="AA93" s="135"/>
      <c r="AD93" s="233"/>
      <c r="AE93" s="342"/>
    </row>
    <row r="94" spans="1:31" x14ac:dyDescent="0.25">
      <c r="A94" s="111">
        <v>92</v>
      </c>
      <c r="B94" s="110" t="s">
        <v>132</v>
      </c>
      <c r="C94" s="474">
        <v>1506581.13</v>
      </c>
      <c r="D94" s="474">
        <v>0</v>
      </c>
      <c r="E94" s="474">
        <v>0</v>
      </c>
      <c r="F94" s="474">
        <v>0</v>
      </c>
      <c r="G94" s="474">
        <v>0</v>
      </c>
      <c r="H94" s="300">
        <f t="shared" si="6"/>
        <v>1506581.13</v>
      </c>
      <c r="I94" s="129">
        <v>687609.08</v>
      </c>
      <c r="J94" s="129">
        <v>0</v>
      </c>
      <c r="K94" s="129">
        <v>0</v>
      </c>
      <c r="L94" s="129">
        <v>0</v>
      </c>
      <c r="M94" s="129">
        <v>0</v>
      </c>
      <c r="N94" s="300">
        <f t="shared" si="7"/>
        <v>687609.08</v>
      </c>
      <c r="O94" s="301"/>
      <c r="P94" s="129"/>
      <c r="Q94" s="129"/>
      <c r="R94" s="129"/>
      <c r="S94" s="129"/>
      <c r="T94" s="300">
        <f t="shared" si="8"/>
        <v>0</v>
      </c>
      <c r="U94" s="301"/>
      <c r="V94" s="129"/>
      <c r="W94" s="129"/>
      <c r="X94" s="129"/>
      <c r="Y94" s="129"/>
      <c r="Z94" s="300">
        <f t="shared" si="5"/>
        <v>0</v>
      </c>
      <c r="AA94" s="135"/>
      <c r="AD94" s="233"/>
      <c r="AE94" s="342"/>
    </row>
    <row r="95" spans="1:31" x14ac:dyDescent="0.25">
      <c r="A95" s="111">
        <v>93</v>
      </c>
      <c r="B95" s="110" t="s">
        <v>131</v>
      </c>
      <c r="C95" s="474">
        <v>309464.18</v>
      </c>
      <c r="D95" s="474">
        <v>0</v>
      </c>
      <c r="E95" s="474">
        <v>0</v>
      </c>
      <c r="F95" s="474">
        <v>0</v>
      </c>
      <c r="G95" s="474">
        <v>0</v>
      </c>
      <c r="H95" s="300">
        <f t="shared" si="6"/>
        <v>309464.18</v>
      </c>
      <c r="I95" s="129">
        <v>26871</v>
      </c>
      <c r="J95" s="129">
        <v>0</v>
      </c>
      <c r="K95" s="129">
        <v>0</v>
      </c>
      <c r="L95" s="129">
        <v>0</v>
      </c>
      <c r="M95" s="129">
        <v>0</v>
      </c>
      <c r="N95" s="300">
        <f t="shared" si="7"/>
        <v>26871</v>
      </c>
      <c r="O95" s="301"/>
      <c r="P95" s="129"/>
      <c r="Q95" s="129"/>
      <c r="R95" s="129"/>
      <c r="S95" s="129"/>
      <c r="T95" s="300">
        <f t="shared" si="8"/>
        <v>0</v>
      </c>
      <c r="U95" s="301"/>
      <c r="V95" s="129"/>
      <c r="W95" s="129"/>
      <c r="X95" s="129"/>
      <c r="Y95" s="129"/>
      <c r="Z95" s="300">
        <f t="shared" si="5"/>
        <v>0</v>
      </c>
      <c r="AA95" s="135"/>
      <c r="AD95" s="233"/>
      <c r="AE95" s="342"/>
    </row>
    <row r="96" spans="1:31" x14ac:dyDescent="0.25">
      <c r="A96" s="111">
        <v>94</v>
      </c>
      <c r="B96" s="110" t="s">
        <v>130</v>
      </c>
      <c r="C96" s="474">
        <v>2856522.56</v>
      </c>
      <c r="D96" s="474">
        <v>0</v>
      </c>
      <c r="E96" s="474">
        <v>0</v>
      </c>
      <c r="F96" s="474">
        <v>0</v>
      </c>
      <c r="G96" s="474">
        <v>0</v>
      </c>
      <c r="H96" s="300">
        <f t="shared" si="6"/>
        <v>2856522.56</v>
      </c>
      <c r="I96" s="129">
        <v>26279.75</v>
      </c>
      <c r="J96" s="129">
        <v>0</v>
      </c>
      <c r="K96" s="129">
        <v>0</v>
      </c>
      <c r="L96" s="129">
        <v>0</v>
      </c>
      <c r="M96" s="129">
        <v>0</v>
      </c>
      <c r="N96" s="300">
        <f t="shared" si="7"/>
        <v>26279.75</v>
      </c>
      <c r="O96" s="301"/>
      <c r="P96" s="129"/>
      <c r="Q96" s="129"/>
      <c r="R96" s="129"/>
      <c r="S96" s="129"/>
      <c r="T96" s="300">
        <f t="shared" si="8"/>
        <v>0</v>
      </c>
      <c r="U96" s="301"/>
      <c r="V96" s="129"/>
      <c r="W96" s="129"/>
      <c r="X96" s="129"/>
      <c r="Y96" s="129"/>
      <c r="Z96" s="300">
        <f t="shared" si="5"/>
        <v>0</v>
      </c>
      <c r="AA96" s="135"/>
      <c r="AD96" s="233"/>
      <c r="AE96" s="342"/>
    </row>
    <row r="97" spans="1:31" x14ac:dyDescent="0.25">
      <c r="A97" s="111">
        <v>95</v>
      </c>
      <c r="B97" s="110" t="s">
        <v>129</v>
      </c>
      <c r="C97" s="474">
        <v>0</v>
      </c>
      <c r="D97" s="474">
        <v>0</v>
      </c>
      <c r="E97" s="474">
        <v>0</v>
      </c>
      <c r="F97" s="474">
        <v>0</v>
      </c>
      <c r="G97" s="474">
        <v>0</v>
      </c>
      <c r="H97" s="300">
        <f t="shared" si="6"/>
        <v>0</v>
      </c>
      <c r="I97" s="129">
        <v>0</v>
      </c>
      <c r="J97" s="129">
        <v>0</v>
      </c>
      <c r="K97" s="129">
        <v>0</v>
      </c>
      <c r="L97" s="129">
        <v>0</v>
      </c>
      <c r="M97" s="129">
        <v>0</v>
      </c>
      <c r="N97" s="300">
        <f t="shared" si="7"/>
        <v>0</v>
      </c>
      <c r="O97" s="301"/>
      <c r="P97" s="129"/>
      <c r="Q97" s="129"/>
      <c r="R97" s="129"/>
      <c r="S97" s="129"/>
      <c r="T97" s="300">
        <f t="shared" si="8"/>
        <v>0</v>
      </c>
      <c r="U97" s="301"/>
      <c r="V97" s="129"/>
      <c r="W97" s="129"/>
      <c r="X97" s="129"/>
      <c r="Y97" s="129"/>
      <c r="Z97" s="300">
        <f t="shared" si="5"/>
        <v>0</v>
      </c>
      <c r="AA97" s="135"/>
      <c r="AD97" s="233"/>
      <c r="AE97" s="342"/>
    </row>
    <row r="98" spans="1:31" x14ac:dyDescent="0.25">
      <c r="A98" s="111">
        <v>96</v>
      </c>
      <c r="B98" s="110" t="s">
        <v>128</v>
      </c>
      <c r="C98" s="474">
        <v>383828.92</v>
      </c>
      <c r="D98" s="474">
        <v>0</v>
      </c>
      <c r="E98" s="474">
        <v>0</v>
      </c>
      <c r="F98" s="474">
        <v>0</v>
      </c>
      <c r="G98" s="474">
        <v>0</v>
      </c>
      <c r="H98" s="300">
        <f t="shared" si="6"/>
        <v>383828.92</v>
      </c>
      <c r="I98" s="129">
        <v>4252700.45</v>
      </c>
      <c r="J98" s="129">
        <v>0</v>
      </c>
      <c r="K98" s="129">
        <v>0</v>
      </c>
      <c r="L98" s="129">
        <v>0</v>
      </c>
      <c r="M98" s="129">
        <v>0</v>
      </c>
      <c r="N98" s="300">
        <f t="shared" si="7"/>
        <v>4252700.45</v>
      </c>
      <c r="O98" s="301"/>
      <c r="P98" s="129"/>
      <c r="Q98" s="129"/>
      <c r="R98" s="129"/>
      <c r="S98" s="129"/>
      <c r="T98" s="300">
        <f t="shared" si="8"/>
        <v>0</v>
      </c>
      <c r="U98" s="301"/>
      <c r="V98" s="129"/>
      <c r="W98" s="129"/>
      <c r="X98" s="129"/>
      <c r="Y98" s="129"/>
      <c r="Z98" s="300">
        <f t="shared" si="5"/>
        <v>0</v>
      </c>
      <c r="AA98" s="135"/>
      <c r="AD98" s="233"/>
      <c r="AE98" s="342"/>
    </row>
    <row r="99" spans="1:31" x14ac:dyDescent="0.25">
      <c r="A99" s="111">
        <v>97</v>
      </c>
      <c r="B99" s="110" t="s">
        <v>127</v>
      </c>
      <c r="C99" s="474">
        <v>471891.97</v>
      </c>
      <c r="D99" s="474">
        <v>0</v>
      </c>
      <c r="E99" s="474">
        <v>0</v>
      </c>
      <c r="F99" s="474">
        <v>0</v>
      </c>
      <c r="G99" s="474">
        <v>0</v>
      </c>
      <c r="H99" s="300">
        <f t="shared" si="6"/>
        <v>471891.97</v>
      </c>
      <c r="I99" s="129">
        <v>167008.43</v>
      </c>
      <c r="J99" s="129">
        <v>0</v>
      </c>
      <c r="K99" s="129">
        <v>0</v>
      </c>
      <c r="L99" s="129">
        <v>0</v>
      </c>
      <c r="M99" s="129">
        <v>0</v>
      </c>
      <c r="N99" s="300">
        <f t="shared" si="7"/>
        <v>167008.43</v>
      </c>
      <c r="O99" s="301"/>
      <c r="P99" s="129"/>
      <c r="Q99" s="129"/>
      <c r="R99" s="129"/>
      <c r="S99" s="129"/>
      <c r="T99" s="300">
        <f t="shared" si="8"/>
        <v>0</v>
      </c>
      <c r="U99" s="301"/>
      <c r="V99" s="129"/>
      <c r="W99" s="129"/>
      <c r="X99" s="129"/>
      <c r="Y99" s="129"/>
      <c r="Z99" s="300">
        <f t="shared" ref="Z99:Z101" si="9">U99+V99+W99+X99+Y99</f>
        <v>0</v>
      </c>
      <c r="AA99" s="135"/>
      <c r="AD99" s="233"/>
      <c r="AE99" s="342"/>
    </row>
    <row r="100" spans="1:31" x14ac:dyDescent="0.25">
      <c r="A100" s="111">
        <v>98</v>
      </c>
      <c r="B100" s="110" t="s">
        <v>126</v>
      </c>
      <c r="C100" s="474">
        <v>1274532.97</v>
      </c>
      <c r="D100" s="474">
        <v>0</v>
      </c>
      <c r="E100" s="474">
        <v>0</v>
      </c>
      <c r="F100" s="474">
        <v>0</v>
      </c>
      <c r="G100" s="474">
        <v>0</v>
      </c>
      <c r="H100" s="300">
        <f t="shared" si="6"/>
        <v>1274532.97</v>
      </c>
      <c r="I100" s="129">
        <v>154275.15</v>
      </c>
      <c r="J100" s="129">
        <v>0</v>
      </c>
      <c r="K100" s="129">
        <v>0</v>
      </c>
      <c r="L100" s="129">
        <v>0</v>
      </c>
      <c r="M100" s="129">
        <v>0</v>
      </c>
      <c r="N100" s="300">
        <f t="shared" si="7"/>
        <v>154275.15</v>
      </c>
      <c r="O100" s="301"/>
      <c r="P100" s="129"/>
      <c r="Q100" s="129"/>
      <c r="R100" s="129"/>
      <c r="S100" s="129"/>
      <c r="T100" s="300">
        <f t="shared" si="8"/>
        <v>0</v>
      </c>
      <c r="U100" s="301"/>
      <c r="V100" s="129"/>
      <c r="W100" s="129"/>
      <c r="X100" s="129"/>
      <c r="Y100" s="129"/>
      <c r="Z100" s="300">
        <f t="shared" si="9"/>
        <v>0</v>
      </c>
      <c r="AA100" s="135"/>
      <c r="AD100" s="233"/>
      <c r="AE100" s="342"/>
    </row>
    <row r="101" spans="1:31" x14ac:dyDescent="0.25">
      <c r="A101" s="321">
        <v>99</v>
      </c>
      <c r="B101" s="322" t="s">
        <v>125</v>
      </c>
      <c r="C101" s="474">
        <v>977156.03</v>
      </c>
      <c r="D101" s="474">
        <v>0</v>
      </c>
      <c r="E101" s="474">
        <v>0</v>
      </c>
      <c r="F101" s="474">
        <v>0</v>
      </c>
      <c r="G101" s="474">
        <v>0</v>
      </c>
      <c r="H101" s="300">
        <f t="shared" si="6"/>
        <v>977156.03</v>
      </c>
      <c r="I101" s="129">
        <v>54988.56</v>
      </c>
      <c r="J101" s="129">
        <v>0</v>
      </c>
      <c r="K101" s="129">
        <v>0</v>
      </c>
      <c r="L101" s="129">
        <v>0</v>
      </c>
      <c r="M101" s="129">
        <v>0</v>
      </c>
      <c r="N101" s="300">
        <f t="shared" si="7"/>
        <v>54988.56</v>
      </c>
      <c r="O101" s="301"/>
      <c r="P101" s="129"/>
      <c r="Q101" s="129"/>
      <c r="R101" s="129"/>
      <c r="S101" s="129"/>
      <c r="T101" s="300">
        <f t="shared" si="8"/>
        <v>0</v>
      </c>
      <c r="U101" s="301"/>
      <c r="V101" s="129"/>
      <c r="W101" s="129"/>
      <c r="X101" s="129"/>
      <c r="Y101" s="129"/>
      <c r="Z101" s="300">
        <f t="shared" si="9"/>
        <v>0</v>
      </c>
      <c r="AA101" s="135"/>
      <c r="AD101" s="233"/>
      <c r="AE101" s="342"/>
    </row>
    <row r="102" spans="1:31" s="387" customFormat="1" x14ac:dyDescent="0.25">
      <c r="A102" s="396"/>
      <c r="B102" s="397" t="s">
        <v>294</v>
      </c>
      <c r="C102" s="353">
        <f>SUM(C3:C101)</f>
        <v>80871067.820000008</v>
      </c>
      <c r="D102" s="352">
        <f>SUM(D3:D101)</f>
        <v>0</v>
      </c>
      <c r="E102" s="352">
        <f t="shared" ref="E102:H102" si="10">SUM(E3:E101)</f>
        <v>446700.75999999995</v>
      </c>
      <c r="F102" s="352">
        <f t="shared" si="10"/>
        <v>0</v>
      </c>
      <c r="G102" s="352">
        <f t="shared" si="10"/>
        <v>0</v>
      </c>
      <c r="H102" s="354">
        <f t="shared" si="10"/>
        <v>81317768.580000013</v>
      </c>
      <c r="I102" s="352">
        <f t="shared" ref="I102:T102" si="11">SUM(I3:I101)</f>
        <v>59890322.520000011</v>
      </c>
      <c r="J102" s="352">
        <f t="shared" si="11"/>
        <v>0</v>
      </c>
      <c r="K102" s="352">
        <f t="shared" si="11"/>
        <v>308722.8</v>
      </c>
      <c r="L102" s="352">
        <f t="shared" si="11"/>
        <v>0</v>
      </c>
      <c r="M102" s="352">
        <f t="shared" si="11"/>
        <v>0</v>
      </c>
      <c r="N102" s="354">
        <f t="shared" si="11"/>
        <v>60199045.320000008</v>
      </c>
      <c r="O102" s="352">
        <f t="shared" si="11"/>
        <v>0</v>
      </c>
      <c r="P102" s="352">
        <f t="shared" si="11"/>
        <v>0</v>
      </c>
      <c r="Q102" s="352">
        <f t="shared" si="11"/>
        <v>0</v>
      </c>
      <c r="R102" s="352">
        <f t="shared" si="11"/>
        <v>0</v>
      </c>
      <c r="S102" s="352">
        <f t="shared" si="11"/>
        <v>0</v>
      </c>
      <c r="T102" s="354">
        <f t="shared" si="11"/>
        <v>0</v>
      </c>
      <c r="U102" s="352">
        <f t="shared" ref="U102:Z102" si="12">SUM(U3:U101)</f>
        <v>0</v>
      </c>
      <c r="V102" s="352">
        <f t="shared" si="12"/>
        <v>0</v>
      </c>
      <c r="W102" s="352">
        <f t="shared" si="12"/>
        <v>0</v>
      </c>
      <c r="X102" s="352">
        <f t="shared" si="12"/>
        <v>0</v>
      </c>
      <c r="Y102" s="352">
        <f t="shared" si="12"/>
        <v>0</v>
      </c>
      <c r="Z102" s="354">
        <f t="shared" si="12"/>
        <v>0</v>
      </c>
      <c r="AA102" s="398"/>
      <c r="AD102" s="399"/>
      <c r="AE102" s="400"/>
    </row>
    <row r="103" spans="1:31" x14ac:dyDescent="0.25">
      <c r="A103" s="375"/>
      <c r="B103" s="394" t="s">
        <v>279</v>
      </c>
      <c r="C103" s="315">
        <v>0</v>
      </c>
      <c r="D103" s="236">
        <v>0</v>
      </c>
      <c r="E103" s="129">
        <v>0</v>
      </c>
      <c r="F103" s="129">
        <v>0</v>
      </c>
      <c r="G103" s="129">
        <v>0</v>
      </c>
      <c r="H103" s="300">
        <f>C103+D103+E103+F103+G103</f>
        <v>0</v>
      </c>
      <c r="I103" s="129">
        <v>0</v>
      </c>
      <c r="J103" s="129">
        <v>0</v>
      </c>
      <c r="K103" s="129">
        <v>0</v>
      </c>
      <c r="L103" s="129">
        <v>0</v>
      </c>
      <c r="M103" s="129">
        <v>0</v>
      </c>
      <c r="N103" s="300">
        <f>I103+J103+K103+L103+M103</f>
        <v>0</v>
      </c>
      <c r="O103" s="395"/>
      <c r="P103" s="395"/>
      <c r="Q103" s="395"/>
      <c r="R103" s="395"/>
      <c r="S103" s="395"/>
      <c r="T103" s="300">
        <f>O103+P103+Q103+R103+S103</f>
        <v>0</v>
      </c>
      <c r="U103" s="395"/>
      <c r="V103" s="395"/>
      <c r="W103" s="395"/>
      <c r="X103" s="395"/>
      <c r="Y103" s="395"/>
      <c r="Z103" s="319">
        <f>U103+V103+W103+X103+Y103</f>
        <v>0</v>
      </c>
      <c r="AA103" s="135"/>
      <c r="AD103" s="233"/>
    </row>
    <row r="104" spans="1:31" x14ac:dyDescent="0.25">
      <c r="A104" s="325" t="s">
        <v>257</v>
      </c>
      <c r="B104" s="326" t="s">
        <v>256</v>
      </c>
      <c r="C104" s="336">
        <v>0</v>
      </c>
      <c r="D104" s="327">
        <v>0</v>
      </c>
      <c r="E104" s="289">
        <v>0</v>
      </c>
      <c r="F104" s="384">
        <v>452133.71</v>
      </c>
      <c r="G104" s="289">
        <v>0</v>
      </c>
      <c r="H104" s="297">
        <f>C104+D104+E104+F104+G104</f>
        <v>452133.71</v>
      </c>
      <c r="I104" s="129">
        <v>0</v>
      </c>
      <c r="J104" s="129">
        <v>0</v>
      </c>
      <c r="K104" s="129">
        <v>0</v>
      </c>
      <c r="L104" s="129">
        <v>504949.92</v>
      </c>
      <c r="M104" s="129">
        <v>0</v>
      </c>
      <c r="N104" s="297">
        <f>I104+J104+K104+L104+M104</f>
        <v>504949.92</v>
      </c>
      <c r="O104" s="339"/>
      <c r="P104" s="339"/>
      <c r="Q104" s="339"/>
      <c r="R104" s="339"/>
      <c r="S104" s="339"/>
      <c r="T104" s="297">
        <f>O104+P104+Q104+R104+S104</f>
        <v>0</v>
      </c>
      <c r="U104" s="339"/>
      <c r="V104" s="339"/>
      <c r="W104" s="339"/>
      <c r="X104" s="339"/>
      <c r="Y104" s="339"/>
      <c r="Z104" s="297">
        <f>U104+V104+W104+X104+Y104</f>
        <v>0</v>
      </c>
      <c r="AA104" s="135"/>
      <c r="AD104" s="233"/>
    </row>
    <row r="105" spans="1:31" x14ac:dyDescent="0.25">
      <c r="A105" s="324"/>
      <c r="B105" s="328" t="s">
        <v>231</v>
      </c>
      <c r="C105" s="310">
        <f>SUM(C102:C104)</f>
        <v>80871067.820000008</v>
      </c>
      <c r="D105" s="311">
        <f t="shared" ref="D105:Z105" si="13">SUM(D102:D104)</f>
        <v>0</v>
      </c>
      <c r="E105" s="311">
        <f t="shared" si="13"/>
        <v>446700.75999999995</v>
      </c>
      <c r="F105" s="311">
        <f t="shared" si="13"/>
        <v>452133.71</v>
      </c>
      <c r="G105" s="311">
        <f t="shared" si="13"/>
        <v>0</v>
      </c>
      <c r="H105" s="312">
        <f t="shared" si="13"/>
        <v>81769902.290000007</v>
      </c>
      <c r="I105" s="310">
        <f t="shared" si="13"/>
        <v>59890322.520000011</v>
      </c>
      <c r="J105" s="311">
        <f t="shared" si="13"/>
        <v>0</v>
      </c>
      <c r="K105" s="311">
        <f t="shared" si="13"/>
        <v>308722.8</v>
      </c>
      <c r="L105" s="311">
        <f t="shared" si="13"/>
        <v>504949.92</v>
      </c>
      <c r="M105" s="311">
        <f t="shared" si="13"/>
        <v>0</v>
      </c>
      <c r="N105" s="312">
        <f t="shared" si="13"/>
        <v>60703995.24000001</v>
      </c>
      <c r="O105" s="310">
        <f t="shared" si="13"/>
        <v>0</v>
      </c>
      <c r="P105" s="311">
        <f t="shared" si="13"/>
        <v>0</v>
      </c>
      <c r="Q105" s="311">
        <f t="shared" si="13"/>
        <v>0</v>
      </c>
      <c r="R105" s="311">
        <f t="shared" si="13"/>
        <v>0</v>
      </c>
      <c r="S105" s="311">
        <f t="shared" si="13"/>
        <v>0</v>
      </c>
      <c r="T105" s="312">
        <f t="shared" si="13"/>
        <v>0</v>
      </c>
      <c r="U105" s="310">
        <f t="shared" si="13"/>
        <v>0</v>
      </c>
      <c r="V105" s="311">
        <f t="shared" si="13"/>
        <v>0</v>
      </c>
      <c r="W105" s="311">
        <f t="shared" si="13"/>
        <v>0</v>
      </c>
      <c r="X105" s="311">
        <f t="shared" si="13"/>
        <v>0</v>
      </c>
      <c r="Y105" s="311">
        <f t="shared" si="13"/>
        <v>0</v>
      </c>
      <c r="Z105" s="312">
        <f t="shared" si="13"/>
        <v>0</v>
      </c>
      <c r="AA105" s="135"/>
      <c r="AD105" s="233"/>
    </row>
    <row r="106" spans="1:31" x14ac:dyDescent="0.25">
      <c r="A106" s="324"/>
      <c r="B106" s="237" t="s">
        <v>258</v>
      </c>
      <c r="C106" s="336">
        <v>80871067.819999993</v>
      </c>
      <c r="D106" s="327">
        <v>0</v>
      </c>
      <c r="E106" s="289">
        <v>446700.76</v>
      </c>
      <c r="F106" s="386"/>
      <c r="G106" s="386"/>
      <c r="H106" s="297">
        <v>81769902.290000007</v>
      </c>
      <c r="I106" s="289">
        <v>59890322.520000003</v>
      </c>
      <c r="J106" s="289">
        <v>0</v>
      </c>
      <c r="K106" s="289">
        <v>308722.8</v>
      </c>
      <c r="L106" s="386"/>
      <c r="M106" s="386"/>
      <c r="N106" s="297">
        <v>60703995.240000002</v>
      </c>
      <c r="O106" s="339"/>
      <c r="P106" s="339"/>
      <c r="Q106" s="339"/>
      <c r="R106" s="386"/>
      <c r="S106" s="386"/>
      <c r="T106" s="297"/>
      <c r="U106" s="339"/>
      <c r="V106" s="339"/>
      <c r="W106" s="339"/>
      <c r="X106" s="386"/>
      <c r="Y106" s="386"/>
      <c r="Z106" s="297"/>
      <c r="AA106" s="135"/>
      <c r="AD106" s="233"/>
    </row>
    <row r="107" spans="1:31" x14ac:dyDescent="0.25">
      <c r="A107" s="324"/>
      <c r="B107" s="237" t="s">
        <v>259</v>
      </c>
      <c r="C107" s="313">
        <f t="shared" ref="C107:N107" si="14">C105-C106</f>
        <v>0</v>
      </c>
      <c r="D107" s="240">
        <f t="shared" si="14"/>
        <v>0</v>
      </c>
      <c r="E107" s="240">
        <f t="shared" si="14"/>
        <v>0</v>
      </c>
      <c r="F107" s="240">
        <f t="shared" si="14"/>
        <v>452133.71</v>
      </c>
      <c r="G107" s="240">
        <f t="shared" si="14"/>
        <v>0</v>
      </c>
      <c r="H107" s="338">
        <f t="shared" si="14"/>
        <v>0</v>
      </c>
      <c r="I107" s="313">
        <f t="shared" si="14"/>
        <v>0</v>
      </c>
      <c r="J107" s="240">
        <f t="shared" si="14"/>
        <v>0</v>
      </c>
      <c r="K107" s="240">
        <f t="shared" si="14"/>
        <v>0</v>
      </c>
      <c r="L107" s="240">
        <f t="shared" si="14"/>
        <v>504949.92</v>
      </c>
      <c r="M107" s="240">
        <f t="shared" si="14"/>
        <v>0</v>
      </c>
      <c r="N107" s="338">
        <f t="shared" si="14"/>
        <v>0</v>
      </c>
      <c r="O107" s="340">
        <f t="shared" ref="O107:Z107" si="15">O105-O106</f>
        <v>0</v>
      </c>
      <c r="P107" s="340">
        <f t="shared" si="15"/>
        <v>0</v>
      </c>
      <c r="Q107" s="340">
        <f t="shared" si="15"/>
        <v>0</v>
      </c>
      <c r="R107" s="340">
        <f t="shared" si="15"/>
        <v>0</v>
      </c>
      <c r="S107" s="340">
        <f t="shared" si="15"/>
        <v>0</v>
      </c>
      <c r="T107" s="340">
        <f t="shared" si="15"/>
        <v>0</v>
      </c>
      <c r="U107" s="340">
        <f t="shared" si="15"/>
        <v>0</v>
      </c>
      <c r="V107" s="340">
        <f t="shared" si="15"/>
        <v>0</v>
      </c>
      <c r="W107" s="340">
        <f t="shared" si="15"/>
        <v>0</v>
      </c>
      <c r="X107" s="340">
        <f t="shared" si="15"/>
        <v>0</v>
      </c>
      <c r="Y107" s="340">
        <f t="shared" si="15"/>
        <v>0</v>
      </c>
      <c r="Z107" s="340">
        <f t="shared" si="15"/>
        <v>0</v>
      </c>
      <c r="AA107" s="135"/>
      <c r="AD107" s="233"/>
    </row>
    <row r="108" spans="1:31" x14ac:dyDescent="0.25">
      <c r="A108" s="324"/>
      <c r="B108" s="237"/>
      <c r="C108" s="315"/>
      <c r="D108" s="236"/>
      <c r="E108" s="129"/>
      <c r="F108" s="129"/>
      <c r="G108" s="129"/>
      <c r="H108" s="291"/>
      <c r="I108" s="61"/>
      <c r="O108" s="323"/>
      <c r="P108" s="323"/>
      <c r="Q108" s="323"/>
      <c r="R108" s="323"/>
      <c r="S108" s="323"/>
      <c r="T108" s="300"/>
      <c r="U108" s="323"/>
      <c r="V108" s="323"/>
      <c r="W108" s="323"/>
      <c r="X108" s="323"/>
      <c r="Y108" s="323"/>
      <c r="Z108" s="300"/>
      <c r="AA108" s="135"/>
      <c r="AD108" s="233"/>
    </row>
    <row r="109" spans="1:31" ht="24.75" x14ac:dyDescent="0.25">
      <c r="B109" s="237" t="s">
        <v>283</v>
      </c>
      <c r="E109" s="129"/>
      <c r="F109" s="129"/>
      <c r="G109" s="129"/>
      <c r="H109" s="343">
        <f>H102</f>
        <v>81317768.580000013</v>
      </c>
      <c r="I109" s="236"/>
      <c r="J109" s="236"/>
      <c r="K109" s="236"/>
      <c r="L109" s="236"/>
      <c r="M109" s="236"/>
      <c r="N109" s="343">
        <f>H109+N102</f>
        <v>141516813.90000004</v>
      </c>
      <c r="O109" s="323"/>
      <c r="P109" s="323"/>
      <c r="Q109" s="323"/>
      <c r="R109" s="323"/>
      <c r="S109" s="323"/>
      <c r="T109" s="343">
        <f>N109+T102</f>
        <v>141516813.90000004</v>
      </c>
      <c r="U109" s="323"/>
      <c r="V109" s="323"/>
      <c r="W109" s="323"/>
      <c r="X109" s="323"/>
      <c r="Y109" s="323"/>
      <c r="Z109" s="343">
        <f>T109+Z102</f>
        <v>141516813.90000004</v>
      </c>
      <c r="AA109" s="135"/>
      <c r="AD109" s="233"/>
    </row>
    <row r="110" spans="1:31" x14ac:dyDescent="0.25">
      <c r="A110" s="324"/>
      <c r="B110" s="237"/>
      <c r="C110" s="315"/>
      <c r="D110" s="236"/>
      <c r="E110" s="129"/>
      <c r="F110" s="129"/>
      <c r="G110" s="129"/>
      <c r="H110" s="344" t="s">
        <v>284</v>
      </c>
      <c r="I110" s="344"/>
      <c r="J110" s="344"/>
      <c r="K110" s="344"/>
      <c r="L110" s="344"/>
      <c r="M110" s="344"/>
      <c r="N110" s="344" t="s">
        <v>284</v>
      </c>
      <c r="O110" s="323"/>
      <c r="P110" s="323"/>
      <c r="Q110" s="323"/>
      <c r="R110" s="323"/>
      <c r="S110" s="323"/>
      <c r="T110" s="344" t="s">
        <v>284</v>
      </c>
      <c r="U110" s="323"/>
      <c r="V110" s="323"/>
      <c r="W110" s="323"/>
      <c r="X110" s="323"/>
      <c r="Y110" s="323"/>
      <c r="Z110" s="344" t="s">
        <v>284</v>
      </c>
      <c r="AA110" s="135"/>
      <c r="AD110" s="233"/>
    </row>
    <row r="111" spans="1:31" x14ac:dyDescent="0.25">
      <c r="A111" s="324"/>
      <c r="C111" s="315"/>
      <c r="D111" s="236"/>
      <c r="E111" s="129"/>
      <c r="F111" s="129"/>
      <c r="G111" s="129"/>
      <c r="H111" s="291"/>
      <c r="I111" s="61"/>
      <c r="O111" s="323"/>
      <c r="P111" s="323"/>
      <c r="Q111" s="323"/>
      <c r="R111" s="323"/>
      <c r="S111" s="323"/>
      <c r="T111" s="300"/>
      <c r="U111" s="301"/>
      <c r="V111" s="129"/>
      <c r="W111" s="129"/>
      <c r="X111" s="129"/>
      <c r="Y111" s="129"/>
      <c r="Z111" s="300"/>
      <c r="AA111" s="135"/>
      <c r="AD111" s="233"/>
    </row>
    <row r="112" spans="1:31" x14ac:dyDescent="0.25">
      <c r="A112" s="329"/>
      <c r="B112" s="330"/>
      <c r="C112" s="315"/>
      <c r="D112" s="236"/>
      <c r="E112" s="212"/>
      <c r="F112" s="212"/>
      <c r="G112" s="212"/>
      <c r="H112" s="333"/>
      <c r="I112" s="212"/>
      <c r="J112" s="212"/>
      <c r="K112" s="212"/>
      <c r="L112" s="212"/>
      <c r="M112" s="212"/>
      <c r="N112" s="333"/>
      <c r="O112" s="323"/>
      <c r="P112" s="323"/>
      <c r="Q112" s="323"/>
      <c r="R112" s="323"/>
      <c r="S112" s="323"/>
      <c r="T112" s="300"/>
      <c r="U112" s="301"/>
      <c r="V112" s="129"/>
      <c r="W112" s="129"/>
      <c r="X112" s="129"/>
      <c r="Y112" s="129"/>
      <c r="Z112" s="300"/>
      <c r="AA112" s="135"/>
      <c r="AD112" s="233"/>
    </row>
    <row r="113" spans="1:30" x14ac:dyDescent="0.25">
      <c r="A113" s="314"/>
      <c r="B113" s="330"/>
      <c r="C113" s="315"/>
      <c r="D113" s="236"/>
      <c r="E113" s="236"/>
      <c r="F113" s="236"/>
      <c r="G113" s="236"/>
      <c r="H113" s="333"/>
      <c r="I113" s="212"/>
      <c r="J113" s="212"/>
      <c r="K113" s="212"/>
      <c r="L113" s="212"/>
      <c r="M113" s="212"/>
      <c r="N113" s="333"/>
      <c r="O113" s="315"/>
      <c r="P113" s="129"/>
      <c r="Q113" s="129"/>
      <c r="R113" s="129"/>
      <c r="S113" s="129"/>
      <c r="T113" s="300"/>
      <c r="U113" s="301"/>
      <c r="V113" s="129"/>
      <c r="W113" s="129"/>
      <c r="X113" s="129"/>
      <c r="Y113" s="129"/>
      <c r="Z113" s="300"/>
      <c r="AA113" s="135"/>
      <c r="AD113" s="233"/>
    </row>
    <row r="114" spans="1:30" x14ac:dyDescent="0.25">
      <c r="A114" s="314"/>
      <c r="B114" s="330"/>
      <c r="C114" s="315"/>
      <c r="D114" s="236"/>
      <c r="E114" s="236"/>
      <c r="F114" s="236"/>
      <c r="G114" s="236"/>
      <c r="H114" s="334"/>
      <c r="I114" s="331"/>
      <c r="J114" s="331"/>
      <c r="K114" s="331"/>
      <c r="L114" s="331"/>
      <c r="M114" s="331"/>
      <c r="N114" s="333"/>
      <c r="O114" s="315"/>
      <c r="P114" s="129"/>
      <c r="Q114" s="129"/>
      <c r="R114" s="129"/>
      <c r="S114" s="129"/>
      <c r="T114" s="300"/>
      <c r="U114" s="301"/>
      <c r="V114" s="129"/>
      <c r="W114" s="129"/>
      <c r="X114" s="129"/>
      <c r="Y114" s="129"/>
      <c r="Z114" s="300"/>
      <c r="AA114" s="135"/>
      <c r="AD114" s="233"/>
    </row>
    <row r="115" spans="1:30" x14ac:dyDescent="0.25">
      <c r="A115" s="314"/>
      <c r="B115" s="330"/>
      <c r="C115" s="337"/>
      <c r="D115" s="331"/>
      <c r="E115" s="236"/>
      <c r="F115" s="236"/>
      <c r="G115" s="236"/>
      <c r="H115" s="334"/>
      <c r="I115" s="331"/>
      <c r="J115" s="331"/>
      <c r="K115" s="331"/>
      <c r="L115" s="331"/>
      <c r="M115" s="331"/>
      <c r="N115" s="333"/>
      <c r="O115" s="315"/>
      <c r="P115" s="129"/>
      <c r="Q115" s="129"/>
      <c r="R115" s="129"/>
      <c r="S115" s="129"/>
      <c r="T115" s="300"/>
      <c r="U115" s="301"/>
      <c r="V115" s="129"/>
      <c r="W115" s="129"/>
      <c r="X115" s="129"/>
      <c r="Y115" s="129"/>
      <c r="Z115" s="300"/>
      <c r="AA115" s="135"/>
      <c r="AD115" s="233"/>
    </row>
    <row r="116" spans="1:30" x14ac:dyDescent="0.25">
      <c r="A116" s="332"/>
      <c r="B116" s="235"/>
      <c r="C116" s="315"/>
      <c r="D116" s="236"/>
      <c r="E116" s="236"/>
      <c r="F116" s="236"/>
      <c r="G116" s="236"/>
      <c r="H116" s="333"/>
      <c r="I116" s="212"/>
      <c r="J116" s="212"/>
      <c r="K116" s="212"/>
      <c r="L116" s="212"/>
      <c r="M116" s="212"/>
      <c r="N116" s="333"/>
      <c r="O116" s="315"/>
      <c r="P116" s="236"/>
      <c r="Q116" s="236"/>
      <c r="R116" s="236"/>
      <c r="S116" s="236"/>
      <c r="T116" s="319"/>
      <c r="U116" s="301"/>
      <c r="V116" s="129"/>
      <c r="W116" s="129"/>
      <c r="X116" s="129"/>
      <c r="Y116" s="129"/>
      <c r="Z116" s="300"/>
      <c r="AA116" s="61"/>
      <c r="AB116" s="236"/>
    </row>
    <row r="117" spans="1:30" x14ac:dyDescent="0.25">
      <c r="A117" s="332"/>
      <c r="B117" s="235"/>
      <c r="C117" s="315"/>
      <c r="D117" s="236"/>
      <c r="E117" s="236"/>
      <c r="F117" s="236"/>
      <c r="G117" s="236"/>
      <c r="H117" s="319"/>
      <c r="I117" s="236"/>
      <c r="J117" s="236"/>
      <c r="K117" s="236"/>
      <c r="L117" s="236"/>
      <c r="M117" s="236"/>
      <c r="N117" s="333"/>
      <c r="O117" s="315"/>
      <c r="P117" s="236"/>
      <c r="Q117" s="236"/>
      <c r="R117" s="236"/>
      <c r="S117" s="236"/>
      <c r="T117" s="319"/>
      <c r="U117" s="301"/>
      <c r="V117" s="129"/>
      <c r="W117" s="129"/>
      <c r="X117" s="129"/>
      <c r="Y117" s="129"/>
      <c r="Z117" s="300"/>
      <c r="AA117" s="238"/>
      <c r="AB117" s="236"/>
      <c r="AC117" s="61"/>
    </row>
    <row r="118" spans="1:30" x14ac:dyDescent="0.25">
      <c r="A118" s="332"/>
      <c r="B118" s="235"/>
      <c r="C118" s="315"/>
      <c r="D118" s="236"/>
      <c r="E118" s="212"/>
      <c r="F118" s="212"/>
      <c r="G118" s="212"/>
      <c r="H118" s="319"/>
      <c r="I118" s="236"/>
      <c r="J118" s="236"/>
      <c r="K118" s="236"/>
      <c r="L118" s="236"/>
      <c r="M118" s="236"/>
      <c r="N118" s="333"/>
      <c r="O118" s="315"/>
      <c r="P118" s="236"/>
      <c r="Q118" s="236"/>
      <c r="R118" s="236"/>
      <c r="S118" s="236"/>
      <c r="T118" s="319"/>
      <c r="U118" s="301"/>
      <c r="V118" s="129"/>
      <c r="W118" s="129"/>
      <c r="X118" s="129"/>
      <c r="Y118" s="129"/>
      <c r="Z118" s="300"/>
      <c r="AA118" s="238"/>
      <c r="AB118" s="236"/>
      <c r="AC118" s="61"/>
    </row>
    <row r="119" spans="1:30" x14ac:dyDescent="0.25">
      <c r="A119" s="32"/>
      <c r="B119" s="32"/>
      <c r="C119" s="315"/>
      <c r="D119" s="236"/>
      <c r="E119" s="212"/>
      <c r="F119" s="212"/>
      <c r="G119" s="212"/>
      <c r="H119" s="319"/>
      <c r="I119" s="236"/>
      <c r="J119" s="236"/>
      <c r="K119" s="236"/>
      <c r="L119" s="236"/>
      <c r="M119" s="236"/>
      <c r="N119" s="333"/>
      <c r="O119" s="315"/>
      <c r="P119" s="129"/>
      <c r="Q119" s="129"/>
      <c r="R119" s="129"/>
      <c r="S119" s="129"/>
      <c r="T119" s="300"/>
      <c r="U119" s="301"/>
      <c r="V119" s="129"/>
      <c r="W119" s="129"/>
      <c r="X119" s="129"/>
      <c r="Y119" s="129"/>
      <c r="Z119" s="300"/>
      <c r="AA119" s="238"/>
      <c r="AB119" s="61"/>
      <c r="AC119" s="61"/>
    </row>
    <row r="120" spans="1:30" x14ac:dyDescent="0.25">
      <c r="A120" s="32"/>
      <c r="B120" s="32"/>
      <c r="C120" s="315"/>
      <c r="D120" s="236"/>
      <c r="E120" s="212"/>
      <c r="F120" s="212"/>
      <c r="G120" s="212"/>
      <c r="H120" s="333"/>
      <c r="I120" s="212"/>
      <c r="J120" s="212"/>
      <c r="K120" s="212"/>
      <c r="L120" s="212"/>
      <c r="M120" s="212"/>
      <c r="N120" s="333"/>
      <c r="O120" s="316"/>
      <c r="AA120" s="61"/>
      <c r="AB120" s="61"/>
      <c r="AC120" s="61"/>
    </row>
    <row r="121" spans="1:30" x14ac:dyDescent="0.25">
      <c r="A121" s="32"/>
      <c r="B121" s="32"/>
      <c r="C121" s="316"/>
      <c r="D121" s="212"/>
      <c r="E121" s="212"/>
      <c r="F121" s="212"/>
      <c r="G121" s="212"/>
      <c r="H121" s="318"/>
      <c r="I121" s="316"/>
      <c r="J121" s="212"/>
      <c r="K121" s="212"/>
      <c r="L121" s="212"/>
      <c r="M121" s="212"/>
      <c r="N121" s="333"/>
      <c r="O121" s="316"/>
      <c r="AA121" s="61"/>
      <c r="AB121" s="61"/>
      <c r="AC121" s="61"/>
    </row>
    <row r="122" spans="1:30" x14ac:dyDescent="0.25">
      <c r="A122" s="32"/>
      <c r="B122" s="32"/>
      <c r="C122" s="315"/>
      <c r="D122" s="236"/>
      <c r="E122" s="212"/>
      <c r="F122" s="212"/>
      <c r="G122" s="212"/>
      <c r="H122" s="318"/>
      <c r="I122" s="316"/>
      <c r="J122" s="212"/>
      <c r="K122" s="212"/>
      <c r="L122" s="212"/>
      <c r="M122" s="212"/>
      <c r="N122" s="333"/>
      <c r="O122" s="316"/>
      <c r="AA122" s="61"/>
      <c r="AB122" s="61"/>
      <c r="AC122" s="61"/>
    </row>
    <row r="123" spans="1:30" x14ac:dyDescent="0.25">
      <c r="A123" s="32"/>
      <c r="B123" s="32"/>
      <c r="C123" s="316"/>
      <c r="D123" s="212"/>
      <c r="E123" s="212"/>
      <c r="F123" s="212"/>
      <c r="G123" s="212"/>
      <c r="H123" s="318"/>
      <c r="I123" s="316"/>
      <c r="J123" s="212"/>
      <c r="K123" s="212"/>
      <c r="L123" s="212"/>
      <c r="M123" s="212"/>
      <c r="N123" s="333"/>
      <c r="O123" s="316"/>
      <c r="AA123" s="61"/>
      <c r="AB123" s="61"/>
      <c r="AC123" s="61"/>
    </row>
    <row r="124" spans="1:30" x14ac:dyDescent="0.25">
      <c r="A124" s="32"/>
      <c r="B124" s="32"/>
      <c r="C124" s="316"/>
      <c r="D124" s="212"/>
      <c r="E124" s="212"/>
      <c r="F124" s="212"/>
      <c r="G124" s="212"/>
      <c r="H124" s="318"/>
      <c r="I124" s="316"/>
      <c r="J124" s="212"/>
      <c r="K124" s="212"/>
      <c r="L124" s="212"/>
      <c r="M124" s="212"/>
      <c r="N124" s="333"/>
      <c r="O124" s="316"/>
      <c r="AA124" s="61"/>
      <c r="AB124" s="239"/>
      <c r="AC124" s="239"/>
    </row>
    <row r="125" spans="1:30" x14ac:dyDescent="0.25">
      <c r="A125" s="32"/>
      <c r="B125" s="32"/>
      <c r="C125" s="316"/>
      <c r="D125" s="212"/>
      <c r="E125" s="212"/>
      <c r="F125" s="212"/>
      <c r="G125" s="212"/>
      <c r="H125" s="317"/>
      <c r="I125" s="315"/>
      <c r="J125" s="236"/>
      <c r="K125" s="236"/>
      <c r="L125" s="236"/>
      <c r="M125" s="236"/>
      <c r="N125" s="333"/>
      <c r="O125" s="316"/>
      <c r="AA125" s="61"/>
      <c r="AB125" s="129"/>
      <c r="AC125" s="239"/>
    </row>
    <row r="126" spans="1:30" x14ac:dyDescent="0.25">
      <c r="A126" s="32"/>
      <c r="B126" s="32"/>
      <c r="C126" s="315"/>
      <c r="D126" s="236"/>
      <c r="E126" s="212"/>
      <c r="F126" s="212"/>
      <c r="G126" s="212"/>
      <c r="H126" s="317"/>
      <c r="I126" s="315"/>
      <c r="J126" s="236"/>
      <c r="K126" s="236"/>
      <c r="L126" s="236"/>
      <c r="M126" s="236"/>
      <c r="N126" s="319"/>
      <c r="O126" s="315"/>
      <c r="P126" s="129"/>
      <c r="Q126" s="129"/>
      <c r="R126" s="129"/>
      <c r="S126" s="129"/>
      <c r="T126" s="300"/>
      <c r="AA126" s="61"/>
      <c r="AB126" s="61"/>
      <c r="AC126" s="61"/>
    </row>
    <row r="127" spans="1:30" x14ac:dyDescent="0.25">
      <c r="A127" s="32"/>
      <c r="B127" s="32"/>
      <c r="C127" s="315"/>
      <c r="D127" s="236"/>
      <c r="E127" s="236"/>
      <c r="F127" s="236"/>
      <c r="G127" s="236"/>
      <c r="H127" s="317"/>
      <c r="I127" s="315"/>
      <c r="J127" s="236"/>
      <c r="K127" s="236"/>
      <c r="L127" s="236"/>
      <c r="M127" s="236"/>
      <c r="N127" s="333"/>
      <c r="O127" s="316"/>
      <c r="AA127" s="61"/>
      <c r="AB127" s="61"/>
      <c r="AC127" s="61"/>
    </row>
    <row r="128" spans="1:30" x14ac:dyDescent="0.25">
      <c r="A128" s="32"/>
      <c r="B128" s="32"/>
      <c r="C128" s="315"/>
      <c r="D128" s="236"/>
      <c r="E128" s="212"/>
      <c r="F128" s="212"/>
      <c r="G128" s="212"/>
      <c r="H128" s="318"/>
      <c r="I128" s="316"/>
      <c r="J128" s="212"/>
      <c r="K128" s="212"/>
      <c r="L128" s="212"/>
      <c r="M128" s="212"/>
      <c r="N128" s="333"/>
      <c r="O128" s="316"/>
    </row>
  </sheetData>
  <mergeCells count="4">
    <mergeCell ref="O1:T1"/>
    <mergeCell ref="C1:H1"/>
    <mergeCell ref="U1:Z1"/>
    <mergeCell ref="I1:N1"/>
  </mergeCells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97491-2913-4887-8E2E-B3CB7F5EEA7D}">
  <dimension ref="A1:O108"/>
  <sheetViews>
    <sheetView workbookViewId="0">
      <selection activeCell="E106" sqref="E106"/>
    </sheetView>
  </sheetViews>
  <sheetFormatPr defaultRowHeight="15" x14ac:dyDescent="0.25"/>
  <cols>
    <col min="2" max="2" width="16.85546875" bestFit="1" customWidth="1"/>
    <col min="3" max="3" width="20" style="410" bestFit="1" customWidth="1"/>
    <col min="4" max="4" width="15.5703125" bestFit="1" customWidth="1"/>
    <col min="5" max="5" width="16" bestFit="1" customWidth="1"/>
    <col min="6" max="7" width="15.28515625" bestFit="1" customWidth="1"/>
    <col min="9" max="9" width="17.5703125" customWidth="1"/>
    <col min="11" max="11" width="15.28515625" bestFit="1" customWidth="1"/>
    <col min="12" max="13" width="16" bestFit="1" customWidth="1"/>
    <col min="14" max="14" width="23.28515625" bestFit="1" customWidth="1"/>
    <col min="15" max="15" width="16" bestFit="1" customWidth="1"/>
  </cols>
  <sheetData>
    <row r="1" spans="1:14" x14ac:dyDescent="0.25">
      <c r="C1" s="410" t="s">
        <v>230</v>
      </c>
      <c r="D1" t="s">
        <v>229</v>
      </c>
      <c r="E1" t="s">
        <v>228</v>
      </c>
      <c r="F1" s="115" t="s">
        <v>227</v>
      </c>
      <c r="G1" t="s">
        <v>226</v>
      </c>
      <c r="I1" t="s">
        <v>119</v>
      </c>
    </row>
    <row r="2" spans="1:14" ht="25.5" x14ac:dyDescent="0.25">
      <c r="A2" s="114" t="s">
        <v>225</v>
      </c>
      <c r="B2" s="113" t="s">
        <v>224</v>
      </c>
      <c r="C2" s="411"/>
    </row>
    <row r="3" spans="1:14" x14ac:dyDescent="0.25">
      <c r="A3" s="112">
        <v>1</v>
      </c>
      <c r="B3" s="110" t="s">
        <v>223</v>
      </c>
      <c r="C3" s="412">
        <v>68073.77</v>
      </c>
      <c r="D3" s="64">
        <v>84674.240000000005</v>
      </c>
      <c r="E3" s="64"/>
      <c r="F3" s="64"/>
      <c r="G3" s="64"/>
      <c r="I3" s="64"/>
      <c r="K3" s="64"/>
      <c r="L3" s="108"/>
      <c r="M3" s="108"/>
      <c r="N3" s="229"/>
    </row>
    <row r="4" spans="1:14" x14ac:dyDescent="0.25">
      <c r="A4" s="111">
        <v>2</v>
      </c>
      <c r="B4" s="110" t="s">
        <v>222</v>
      </c>
      <c r="C4" s="412">
        <v>170076.38</v>
      </c>
      <c r="D4" s="64">
        <v>400660.19</v>
      </c>
      <c r="E4" s="64"/>
      <c r="F4" s="64"/>
      <c r="G4" s="64"/>
      <c r="I4" s="64"/>
      <c r="K4" s="64"/>
      <c r="L4" s="108"/>
      <c r="M4" s="108"/>
      <c r="N4" s="229"/>
    </row>
    <row r="5" spans="1:14" x14ac:dyDescent="0.25">
      <c r="A5" s="111">
        <v>3</v>
      </c>
      <c r="B5" s="110" t="s">
        <v>221</v>
      </c>
      <c r="C5" s="412">
        <v>2619396.5699999998</v>
      </c>
      <c r="D5" s="64">
        <v>2978042.69</v>
      </c>
      <c r="E5" s="64"/>
      <c r="F5" s="64"/>
      <c r="G5" s="64"/>
      <c r="I5" s="64"/>
      <c r="K5" s="64"/>
      <c r="L5" s="108"/>
      <c r="M5" s="108"/>
      <c r="N5" s="229"/>
    </row>
    <row r="6" spans="1:14" x14ac:dyDescent="0.25">
      <c r="A6" s="111">
        <v>4</v>
      </c>
      <c r="B6" s="110" t="s">
        <v>220</v>
      </c>
      <c r="C6" s="412">
        <v>-774844.68</v>
      </c>
      <c r="D6" s="64">
        <v>-1340175.5900000001</v>
      </c>
      <c r="E6" s="64"/>
      <c r="F6" s="64"/>
      <c r="G6" s="64"/>
      <c r="I6" s="64"/>
      <c r="K6" s="64"/>
      <c r="L6" s="108"/>
      <c r="M6" s="108"/>
      <c r="N6" s="229"/>
    </row>
    <row r="7" spans="1:14" x14ac:dyDescent="0.25">
      <c r="A7" s="111">
        <v>5</v>
      </c>
      <c r="B7" s="110" t="s">
        <v>219</v>
      </c>
      <c r="C7" s="412">
        <v>-1381159.07</v>
      </c>
      <c r="D7" s="64">
        <v>-1188170.73</v>
      </c>
      <c r="E7" s="64"/>
      <c r="F7" s="64"/>
      <c r="G7" s="64"/>
      <c r="I7" s="64"/>
      <c r="K7" s="64"/>
      <c r="L7" s="108"/>
      <c r="M7" s="108"/>
      <c r="N7" s="229"/>
    </row>
    <row r="8" spans="1:14" x14ac:dyDescent="0.25">
      <c r="A8" s="111">
        <v>6</v>
      </c>
      <c r="B8" s="110" t="s">
        <v>218</v>
      </c>
      <c r="C8" s="412">
        <v>7609139.3700000001</v>
      </c>
      <c r="D8" s="64">
        <v>5939998.1100000003</v>
      </c>
      <c r="E8" s="64"/>
      <c r="F8" s="64"/>
      <c r="G8" s="64"/>
      <c r="I8" s="64"/>
      <c r="K8" s="64"/>
      <c r="L8" s="108"/>
      <c r="M8" s="108"/>
      <c r="N8" s="229"/>
    </row>
    <row r="9" spans="1:14" x14ac:dyDescent="0.25">
      <c r="A9" s="111">
        <v>7</v>
      </c>
      <c r="B9" s="110" t="s">
        <v>217</v>
      </c>
      <c r="C9" s="412">
        <v>-1322890.8500000001</v>
      </c>
      <c r="D9" s="64">
        <v>-966962.72</v>
      </c>
      <c r="E9" s="64"/>
      <c r="F9" s="64"/>
      <c r="G9" s="64"/>
      <c r="I9" s="64"/>
      <c r="K9" s="64"/>
      <c r="L9" s="108"/>
      <c r="M9" s="108"/>
      <c r="N9" s="229"/>
    </row>
    <row r="10" spans="1:14" x14ac:dyDescent="0.25">
      <c r="A10" s="111">
        <v>8</v>
      </c>
      <c r="B10" s="110" t="s">
        <v>216</v>
      </c>
      <c r="C10" s="412">
        <v>2880534.83</v>
      </c>
      <c r="D10" s="64">
        <v>2202069.23</v>
      </c>
      <c r="E10" s="64"/>
      <c r="F10" s="64"/>
      <c r="G10" s="64"/>
      <c r="I10" s="64"/>
      <c r="K10" s="64"/>
      <c r="L10" s="108"/>
      <c r="M10" s="108"/>
      <c r="N10" s="229"/>
    </row>
    <row r="11" spans="1:14" x14ac:dyDescent="0.25">
      <c r="A11" s="111">
        <v>9</v>
      </c>
      <c r="B11" s="110" t="s">
        <v>215</v>
      </c>
      <c r="C11" s="412">
        <v>-465847.4</v>
      </c>
      <c r="D11" s="64">
        <v>-408678.39</v>
      </c>
      <c r="E11" s="64"/>
      <c r="F11" s="64"/>
      <c r="G11" s="64"/>
      <c r="I11" s="64"/>
      <c r="K11" s="64"/>
      <c r="L11" s="108"/>
      <c r="M11" s="108"/>
      <c r="N11" s="229"/>
    </row>
    <row r="12" spans="1:14" x14ac:dyDescent="0.25">
      <c r="A12" s="111">
        <v>10</v>
      </c>
      <c r="B12" s="110" t="s">
        <v>214</v>
      </c>
      <c r="C12" s="412">
        <v>95297.84</v>
      </c>
      <c r="D12" s="64">
        <v>462973.83</v>
      </c>
      <c r="E12" s="64"/>
      <c r="F12" s="64"/>
      <c r="G12" s="64"/>
      <c r="I12" s="64"/>
      <c r="K12" s="64"/>
      <c r="L12" s="108"/>
      <c r="M12" s="108"/>
      <c r="N12" s="229"/>
    </row>
    <row r="13" spans="1:14" x14ac:dyDescent="0.25">
      <c r="A13" s="111">
        <v>11</v>
      </c>
      <c r="B13" s="110" t="s">
        <v>213</v>
      </c>
      <c r="C13" s="412">
        <v>5527902.8200000003</v>
      </c>
      <c r="D13" s="64">
        <v>5894044.8300000001</v>
      </c>
      <c r="E13" s="64"/>
      <c r="F13" s="64"/>
      <c r="G13" s="64"/>
      <c r="I13" s="64"/>
      <c r="K13" s="64"/>
      <c r="L13" s="108"/>
      <c r="M13" s="108"/>
      <c r="N13" s="229"/>
    </row>
    <row r="14" spans="1:14" x14ac:dyDescent="0.25">
      <c r="A14" s="111">
        <v>12</v>
      </c>
      <c r="B14" s="110" t="s">
        <v>212</v>
      </c>
      <c r="C14" s="412">
        <v>-1310831.51</v>
      </c>
      <c r="D14" s="64">
        <v>-2922701.98</v>
      </c>
      <c r="E14" s="64"/>
      <c r="F14" s="64"/>
      <c r="G14" s="64"/>
      <c r="I14" s="64"/>
      <c r="K14" s="64"/>
      <c r="L14" s="108"/>
      <c r="M14" s="108"/>
      <c r="N14" s="229"/>
    </row>
    <row r="15" spans="1:14" x14ac:dyDescent="0.25">
      <c r="A15" s="111">
        <v>13</v>
      </c>
      <c r="B15" s="110" t="s">
        <v>211</v>
      </c>
      <c r="C15" s="412">
        <v>5004319.8099999996</v>
      </c>
      <c r="D15" s="64">
        <v>5344208.0199999996</v>
      </c>
      <c r="E15" s="64"/>
      <c r="F15" s="64"/>
      <c r="G15" s="64"/>
      <c r="I15" s="64"/>
      <c r="K15" s="64"/>
      <c r="L15" s="108"/>
      <c r="M15" s="108"/>
      <c r="N15" s="229"/>
    </row>
    <row r="16" spans="1:14" x14ac:dyDescent="0.25">
      <c r="A16" s="111">
        <v>14</v>
      </c>
      <c r="B16" s="110" t="s">
        <v>210</v>
      </c>
      <c r="C16" s="412">
        <v>1099780.3999999999</v>
      </c>
      <c r="D16" s="64">
        <v>1484798.56</v>
      </c>
      <c r="E16" s="64"/>
      <c r="F16" s="64"/>
      <c r="G16" s="64"/>
      <c r="I16" s="64"/>
      <c r="K16" s="64"/>
      <c r="L16" s="108"/>
      <c r="M16" s="108"/>
      <c r="N16" s="229"/>
    </row>
    <row r="17" spans="1:14" x14ac:dyDescent="0.25">
      <c r="A17" s="111">
        <v>15</v>
      </c>
      <c r="B17" s="110" t="s">
        <v>209</v>
      </c>
      <c r="C17" s="412">
        <v>4206155.68</v>
      </c>
      <c r="D17" s="64">
        <v>4491281.1399999997</v>
      </c>
      <c r="E17" s="64"/>
      <c r="F17" s="64"/>
      <c r="G17" s="64"/>
      <c r="I17" s="64"/>
      <c r="K17" s="64"/>
      <c r="L17" s="108"/>
      <c r="M17" s="108"/>
      <c r="N17" s="229"/>
    </row>
    <row r="18" spans="1:14" x14ac:dyDescent="0.25">
      <c r="A18" s="111">
        <v>16</v>
      </c>
      <c r="B18" s="110" t="s">
        <v>208</v>
      </c>
      <c r="C18" s="412">
        <v>245014.16</v>
      </c>
      <c r="D18" s="64">
        <v>3039.28</v>
      </c>
      <c r="E18" s="64"/>
      <c r="F18" s="64"/>
      <c r="G18" s="64"/>
      <c r="I18" s="64"/>
      <c r="K18" s="64"/>
      <c r="L18" s="108"/>
      <c r="M18" s="108"/>
      <c r="N18" s="229"/>
    </row>
    <row r="19" spans="1:14" x14ac:dyDescent="0.25">
      <c r="A19" s="111">
        <v>17</v>
      </c>
      <c r="B19" s="110" t="s">
        <v>207</v>
      </c>
      <c r="C19" s="412">
        <v>-779425.1</v>
      </c>
      <c r="D19" s="64">
        <v>-2463719.19</v>
      </c>
      <c r="E19" s="64"/>
      <c r="F19" s="64"/>
      <c r="G19" s="64"/>
      <c r="I19" s="64"/>
      <c r="K19" s="64"/>
      <c r="L19" s="108"/>
      <c r="M19" s="108"/>
      <c r="N19" s="229"/>
    </row>
    <row r="20" spans="1:14" x14ac:dyDescent="0.25">
      <c r="A20" s="111">
        <v>18</v>
      </c>
      <c r="B20" s="110" t="s">
        <v>206</v>
      </c>
      <c r="C20" s="412">
        <v>963535.57</v>
      </c>
      <c r="D20" s="64">
        <v>1374094.49</v>
      </c>
      <c r="E20" s="64"/>
      <c r="F20" s="64"/>
      <c r="G20" s="64"/>
      <c r="I20" s="64"/>
      <c r="K20" s="64"/>
      <c r="L20" s="108"/>
      <c r="M20" s="108"/>
      <c r="N20" s="229"/>
    </row>
    <row r="21" spans="1:14" x14ac:dyDescent="0.25">
      <c r="A21" s="111">
        <v>19</v>
      </c>
      <c r="B21" s="110" t="s">
        <v>205</v>
      </c>
      <c r="C21" s="412">
        <v>-2246168.36</v>
      </c>
      <c r="D21" s="64">
        <v>-2403361</v>
      </c>
      <c r="E21" s="64"/>
      <c r="F21" s="64"/>
      <c r="G21" s="64"/>
      <c r="I21" s="64"/>
      <c r="K21" s="64"/>
      <c r="L21" s="108"/>
      <c r="M21" s="108"/>
      <c r="N21" s="229"/>
    </row>
    <row r="22" spans="1:14" x14ac:dyDescent="0.25">
      <c r="A22" s="111">
        <v>20</v>
      </c>
      <c r="B22" s="110" t="s">
        <v>204</v>
      </c>
      <c r="C22" s="412">
        <v>839712.99</v>
      </c>
      <c r="D22" s="64">
        <v>530674.96</v>
      </c>
      <c r="E22" s="64"/>
      <c r="F22" s="64"/>
      <c r="G22" s="64"/>
      <c r="I22" s="64"/>
      <c r="K22" s="64"/>
      <c r="L22" s="108"/>
      <c r="M22" s="108"/>
      <c r="N22" s="229"/>
    </row>
    <row r="23" spans="1:14" x14ac:dyDescent="0.25">
      <c r="A23" s="111">
        <v>21</v>
      </c>
      <c r="B23" s="110" t="s">
        <v>203</v>
      </c>
      <c r="C23" s="412">
        <v>-1497733.6</v>
      </c>
      <c r="D23" s="64">
        <v>6550546.4699999997</v>
      </c>
      <c r="E23" s="64"/>
      <c r="F23" s="64"/>
      <c r="G23" s="64"/>
      <c r="I23" s="64"/>
      <c r="K23" s="64"/>
      <c r="L23" s="108"/>
      <c r="M23" s="108"/>
      <c r="N23" s="229"/>
    </row>
    <row r="24" spans="1:14" x14ac:dyDescent="0.25">
      <c r="A24" s="111">
        <v>22</v>
      </c>
      <c r="B24" s="110" t="s">
        <v>202</v>
      </c>
      <c r="C24" s="412">
        <v>4906100.8899999997</v>
      </c>
      <c r="D24" s="64">
        <v>5189489.21</v>
      </c>
      <c r="E24" s="64"/>
      <c r="F24" s="64"/>
      <c r="G24" s="64"/>
      <c r="I24" s="64"/>
      <c r="K24" s="64"/>
      <c r="L24" s="108"/>
      <c r="M24" s="108"/>
      <c r="N24" s="229"/>
    </row>
    <row r="25" spans="1:14" x14ac:dyDescent="0.25">
      <c r="A25" s="111">
        <v>23</v>
      </c>
      <c r="B25" s="110" t="s">
        <v>201</v>
      </c>
      <c r="C25" s="412">
        <v>1026811.57</v>
      </c>
      <c r="D25" s="64">
        <v>296466.17</v>
      </c>
      <c r="E25" s="64"/>
      <c r="F25" s="64"/>
      <c r="G25" s="64"/>
      <c r="I25" s="64"/>
      <c r="K25" s="64"/>
      <c r="L25" s="108"/>
      <c r="M25" s="108"/>
      <c r="N25" s="229"/>
    </row>
    <row r="26" spans="1:14" x14ac:dyDescent="0.25">
      <c r="A26" s="111">
        <v>24</v>
      </c>
      <c r="B26" s="110" t="s">
        <v>200</v>
      </c>
      <c r="C26" s="412">
        <v>-2605546.7200000002</v>
      </c>
      <c r="D26" s="64">
        <v>-2212487.4300000002</v>
      </c>
      <c r="E26" s="64"/>
      <c r="F26" s="64"/>
      <c r="G26" s="64"/>
      <c r="I26" s="64"/>
      <c r="K26" s="64"/>
      <c r="L26" s="108"/>
      <c r="M26" s="108"/>
      <c r="N26" s="229"/>
    </row>
    <row r="27" spans="1:14" x14ac:dyDescent="0.25">
      <c r="A27" s="111">
        <v>25</v>
      </c>
      <c r="B27" s="110" t="s">
        <v>199</v>
      </c>
      <c r="C27" s="412">
        <v>-1382068.12</v>
      </c>
      <c r="D27" s="64">
        <v>-1776881.44</v>
      </c>
      <c r="E27" s="64"/>
      <c r="F27" s="64"/>
      <c r="G27" s="64"/>
      <c r="I27" s="64"/>
      <c r="K27" s="64"/>
      <c r="L27" s="108"/>
      <c r="M27" s="108"/>
      <c r="N27" s="229"/>
    </row>
    <row r="28" spans="1:14" x14ac:dyDescent="0.25">
      <c r="A28" s="111">
        <v>26</v>
      </c>
      <c r="B28" s="110" t="s">
        <v>198</v>
      </c>
      <c r="C28" s="412">
        <v>392550.36</v>
      </c>
      <c r="D28" s="64">
        <v>105329.67</v>
      </c>
      <c r="E28" s="64"/>
      <c r="F28" s="64"/>
      <c r="G28" s="64"/>
      <c r="I28" s="64"/>
      <c r="K28" s="64"/>
      <c r="L28" s="108"/>
      <c r="M28" s="108"/>
      <c r="N28" s="229"/>
    </row>
    <row r="29" spans="1:14" x14ac:dyDescent="0.25">
      <c r="A29" s="111">
        <v>27</v>
      </c>
      <c r="B29" s="110" t="s">
        <v>197</v>
      </c>
      <c r="C29" s="412">
        <v>-307647.13</v>
      </c>
      <c r="D29" s="64">
        <v>-843.47</v>
      </c>
      <c r="E29" s="64"/>
      <c r="F29" s="64"/>
      <c r="G29" s="64"/>
      <c r="I29" s="64"/>
      <c r="K29" s="64"/>
      <c r="L29" s="108"/>
      <c r="M29" s="108"/>
      <c r="N29" s="229"/>
    </row>
    <row r="30" spans="1:14" x14ac:dyDescent="0.25">
      <c r="A30" s="111">
        <v>28</v>
      </c>
      <c r="B30" s="110" t="s">
        <v>196</v>
      </c>
      <c r="C30" s="412">
        <v>-256496.54</v>
      </c>
      <c r="D30" s="64">
        <v>166853.44</v>
      </c>
      <c r="E30" s="64"/>
      <c r="F30" s="64"/>
      <c r="G30" s="64"/>
      <c r="I30" s="64"/>
      <c r="K30" s="64"/>
      <c r="L30" s="108"/>
      <c r="M30" s="108"/>
      <c r="N30" s="229"/>
    </row>
    <row r="31" spans="1:14" x14ac:dyDescent="0.25">
      <c r="A31" s="111">
        <v>29</v>
      </c>
      <c r="B31" s="110" t="s">
        <v>195</v>
      </c>
      <c r="C31" s="412">
        <v>981759.69</v>
      </c>
      <c r="D31" s="64">
        <v>1247767.01</v>
      </c>
      <c r="E31" s="64"/>
      <c r="F31" s="64"/>
      <c r="G31" s="64"/>
      <c r="I31" s="64"/>
      <c r="K31" s="64"/>
      <c r="L31" s="108"/>
      <c r="M31" s="108"/>
      <c r="N31" s="229"/>
    </row>
    <row r="32" spans="1:14" x14ac:dyDescent="0.25">
      <c r="A32" s="111">
        <v>30</v>
      </c>
      <c r="B32" s="110" t="s">
        <v>194</v>
      </c>
      <c r="C32" s="412">
        <v>2478055.9</v>
      </c>
      <c r="D32" s="64">
        <v>1807119.06</v>
      </c>
      <c r="E32" s="64"/>
      <c r="F32" s="64"/>
      <c r="G32" s="64"/>
      <c r="I32" s="64"/>
      <c r="K32" s="64"/>
      <c r="L32" s="108"/>
      <c r="M32" s="108"/>
      <c r="N32" s="229"/>
    </row>
    <row r="33" spans="1:14" x14ac:dyDescent="0.25">
      <c r="A33" s="111">
        <v>31</v>
      </c>
      <c r="B33" s="110" t="s">
        <v>193</v>
      </c>
      <c r="C33" s="412">
        <v>3069190.38</v>
      </c>
      <c r="D33" s="64">
        <v>3643737.75</v>
      </c>
      <c r="E33" s="64"/>
      <c r="F33" s="64"/>
      <c r="G33" s="64"/>
      <c r="I33" s="64"/>
      <c r="K33" s="64"/>
      <c r="L33" s="108"/>
      <c r="M33" s="108"/>
      <c r="N33" s="229"/>
    </row>
    <row r="34" spans="1:14" x14ac:dyDescent="0.25">
      <c r="A34" s="111">
        <v>32</v>
      </c>
      <c r="B34" s="110" t="s">
        <v>192</v>
      </c>
      <c r="C34" s="412">
        <v>126193.55</v>
      </c>
      <c r="D34" s="64">
        <v>349915.37</v>
      </c>
      <c r="E34" s="64"/>
      <c r="F34" s="64"/>
      <c r="G34" s="64"/>
      <c r="I34" s="64"/>
      <c r="K34" s="64"/>
      <c r="L34" s="108"/>
      <c r="M34" s="108"/>
      <c r="N34" s="229"/>
    </row>
    <row r="35" spans="1:14" x14ac:dyDescent="0.25">
      <c r="A35" s="111">
        <v>33</v>
      </c>
      <c r="B35" s="110" t="s">
        <v>191</v>
      </c>
      <c r="C35" s="412">
        <v>-237450.35</v>
      </c>
      <c r="D35" s="64">
        <v>729598.15</v>
      </c>
      <c r="E35" s="64"/>
      <c r="F35" s="64"/>
      <c r="G35" s="64"/>
      <c r="I35" s="64"/>
      <c r="K35" s="64"/>
      <c r="L35" s="108"/>
      <c r="M35" s="108"/>
      <c r="N35" s="229"/>
    </row>
    <row r="36" spans="1:14" x14ac:dyDescent="0.25">
      <c r="A36" s="111">
        <v>34</v>
      </c>
      <c r="B36" s="110" t="s">
        <v>190</v>
      </c>
      <c r="C36" s="412">
        <v>937469.76</v>
      </c>
      <c r="D36" s="64">
        <v>1277509.19</v>
      </c>
      <c r="E36" s="64"/>
      <c r="F36" s="64"/>
      <c r="G36" s="64"/>
      <c r="I36" s="64"/>
      <c r="K36" s="64"/>
      <c r="L36" s="108"/>
      <c r="M36" s="108"/>
      <c r="N36" s="229"/>
    </row>
    <row r="37" spans="1:14" x14ac:dyDescent="0.25">
      <c r="A37" s="111">
        <v>35</v>
      </c>
      <c r="B37" s="110" t="s">
        <v>189</v>
      </c>
      <c r="C37" s="412">
        <v>-550267.55000000005</v>
      </c>
      <c r="D37" s="64">
        <v>-321841.55</v>
      </c>
      <c r="E37" s="64"/>
      <c r="F37" s="64"/>
      <c r="G37" s="64"/>
      <c r="I37" s="64"/>
      <c r="K37" s="64"/>
      <c r="L37" s="108"/>
      <c r="M37" s="108"/>
      <c r="N37" s="229"/>
    </row>
    <row r="38" spans="1:14" x14ac:dyDescent="0.25">
      <c r="A38" s="111">
        <v>36</v>
      </c>
      <c r="B38" s="110" t="s">
        <v>188</v>
      </c>
      <c r="C38" s="412">
        <v>1946613.53</v>
      </c>
      <c r="D38" s="64">
        <v>2224466.94</v>
      </c>
      <c r="E38" s="64"/>
      <c r="F38" s="64"/>
      <c r="G38" s="64"/>
      <c r="I38" s="64"/>
      <c r="K38" s="64"/>
      <c r="L38" s="108"/>
      <c r="M38" s="108"/>
      <c r="N38" s="229"/>
    </row>
    <row r="39" spans="1:14" x14ac:dyDescent="0.25">
      <c r="A39" s="111">
        <v>37</v>
      </c>
      <c r="B39" s="110" t="s">
        <v>187</v>
      </c>
      <c r="C39" s="412">
        <v>3754963.66</v>
      </c>
      <c r="D39" s="64">
        <v>3822512.78</v>
      </c>
      <c r="E39" s="64"/>
      <c r="F39" s="64"/>
      <c r="G39" s="64"/>
      <c r="I39" s="64"/>
      <c r="K39" s="64"/>
      <c r="L39" s="108"/>
      <c r="M39" s="108"/>
      <c r="N39" s="229"/>
    </row>
    <row r="40" spans="1:14" x14ac:dyDescent="0.25">
      <c r="A40" s="111">
        <v>38</v>
      </c>
      <c r="B40" s="110" t="s">
        <v>186</v>
      </c>
      <c r="C40" s="412">
        <v>-1773711.33</v>
      </c>
      <c r="D40" s="64">
        <v>-1297289.8600000001</v>
      </c>
      <c r="E40" s="64"/>
      <c r="F40" s="64"/>
      <c r="G40" s="64"/>
      <c r="I40" s="64"/>
      <c r="K40" s="64"/>
      <c r="L40" s="108"/>
      <c r="M40" s="108"/>
      <c r="N40" s="229"/>
    </row>
    <row r="41" spans="1:14" x14ac:dyDescent="0.25">
      <c r="A41" s="111">
        <v>39</v>
      </c>
      <c r="B41" s="110" t="s">
        <v>185</v>
      </c>
      <c r="C41" s="412">
        <v>-292405.53000000003</v>
      </c>
      <c r="D41" s="64">
        <v>70216.91</v>
      </c>
      <c r="E41" s="64"/>
      <c r="F41" s="64"/>
      <c r="G41" s="64"/>
      <c r="I41" s="64"/>
      <c r="K41" s="64"/>
      <c r="L41" s="108"/>
      <c r="M41" s="108"/>
      <c r="N41" s="229"/>
    </row>
    <row r="42" spans="1:14" x14ac:dyDescent="0.25">
      <c r="A42" s="111">
        <v>40</v>
      </c>
      <c r="B42" s="110" t="s">
        <v>184</v>
      </c>
      <c r="C42" s="412">
        <v>423980.24</v>
      </c>
      <c r="D42" s="64">
        <v>772205.82</v>
      </c>
      <c r="E42" s="64"/>
      <c r="F42" s="64"/>
      <c r="G42" s="64"/>
      <c r="I42" s="64"/>
      <c r="K42" s="64"/>
      <c r="L42" s="108"/>
      <c r="M42" s="108"/>
      <c r="N42" s="229"/>
    </row>
    <row r="43" spans="1:14" x14ac:dyDescent="0.25">
      <c r="A43" s="111">
        <v>41</v>
      </c>
      <c r="B43" s="110" t="s">
        <v>183</v>
      </c>
      <c r="C43" s="412">
        <v>1477819.84</v>
      </c>
      <c r="D43" s="64">
        <v>298918.21999999997</v>
      </c>
      <c r="E43" s="64"/>
      <c r="F43" s="64"/>
      <c r="G43" s="64"/>
      <c r="I43" s="64"/>
      <c r="K43" s="64"/>
      <c r="L43" s="108"/>
      <c r="M43" s="108"/>
      <c r="N43" s="229"/>
    </row>
    <row r="44" spans="1:14" x14ac:dyDescent="0.25">
      <c r="A44" s="111">
        <v>42</v>
      </c>
      <c r="B44" s="110" t="s">
        <v>182</v>
      </c>
      <c r="C44" s="412">
        <v>983713.37</v>
      </c>
      <c r="D44" s="64">
        <v>-598606.68999999994</v>
      </c>
      <c r="E44" s="64"/>
      <c r="F44" s="64"/>
      <c r="G44" s="64"/>
      <c r="I44" s="64"/>
      <c r="K44" s="64"/>
      <c r="L44" s="108"/>
      <c r="M44" s="108"/>
      <c r="N44" s="229"/>
    </row>
    <row r="45" spans="1:14" x14ac:dyDescent="0.25">
      <c r="A45" s="111">
        <v>43</v>
      </c>
      <c r="B45" s="110" t="s">
        <v>181</v>
      </c>
      <c r="C45" s="412">
        <v>1776205.99</v>
      </c>
      <c r="D45" s="64">
        <v>1047042.73</v>
      </c>
      <c r="E45" s="64"/>
      <c r="F45" s="64"/>
      <c r="G45" s="64"/>
      <c r="I45" s="64"/>
      <c r="K45" s="64"/>
      <c r="L45" s="108"/>
      <c r="M45" s="108"/>
      <c r="N45" s="229"/>
    </row>
    <row r="46" spans="1:14" x14ac:dyDescent="0.25">
      <c r="A46" s="111">
        <v>44</v>
      </c>
      <c r="B46" s="110" t="s">
        <v>180</v>
      </c>
      <c r="C46" s="412">
        <v>294930.32</v>
      </c>
      <c r="D46" s="64">
        <v>583979</v>
      </c>
      <c r="E46" s="64"/>
      <c r="F46" s="64"/>
      <c r="G46" s="64"/>
      <c r="I46" s="64"/>
      <c r="K46" s="64"/>
      <c r="L46" s="108"/>
      <c r="M46" s="108"/>
      <c r="N46" s="229"/>
    </row>
    <row r="47" spans="1:14" x14ac:dyDescent="0.25">
      <c r="A47" s="111">
        <v>45</v>
      </c>
      <c r="B47" s="110" t="s">
        <v>179</v>
      </c>
      <c r="C47" s="412">
        <v>1077356.8500000001</v>
      </c>
      <c r="D47" s="64">
        <v>1461510.18</v>
      </c>
      <c r="E47" s="64"/>
      <c r="F47" s="64"/>
      <c r="G47" s="64"/>
      <c r="I47" s="64"/>
      <c r="K47" s="64"/>
      <c r="L47" s="108"/>
      <c r="M47" s="108"/>
      <c r="N47" s="229"/>
    </row>
    <row r="48" spans="1:14" x14ac:dyDescent="0.25">
      <c r="A48" s="111">
        <v>46</v>
      </c>
      <c r="B48" s="110" t="s">
        <v>178</v>
      </c>
      <c r="C48" s="412">
        <v>-418513.62</v>
      </c>
      <c r="D48" s="64">
        <v>-418728.63</v>
      </c>
      <c r="E48" s="64"/>
      <c r="F48" s="64"/>
      <c r="G48" s="64"/>
      <c r="I48" s="64"/>
      <c r="K48" s="64"/>
      <c r="L48" s="108"/>
      <c r="M48" s="108"/>
      <c r="N48" s="229"/>
    </row>
    <row r="49" spans="1:14" x14ac:dyDescent="0.25">
      <c r="A49" s="111">
        <v>47</v>
      </c>
      <c r="B49" s="110" t="s">
        <v>177</v>
      </c>
      <c r="C49" s="412">
        <v>4688680.1399999997</v>
      </c>
      <c r="D49" s="64">
        <v>3330562.87</v>
      </c>
      <c r="E49" s="64"/>
      <c r="F49" s="64"/>
      <c r="G49" s="64"/>
      <c r="I49" s="64"/>
      <c r="K49" s="64"/>
      <c r="L49" s="108"/>
      <c r="M49" s="108"/>
      <c r="N49" s="229"/>
    </row>
    <row r="50" spans="1:14" x14ac:dyDescent="0.25">
      <c r="A50" s="111">
        <v>48</v>
      </c>
      <c r="B50" s="110" t="s">
        <v>176</v>
      </c>
      <c r="C50" s="412">
        <v>-2432698.38</v>
      </c>
      <c r="D50" s="64">
        <v>-2156944.83</v>
      </c>
      <c r="E50" s="64"/>
      <c r="F50" s="64"/>
      <c r="G50" s="64"/>
      <c r="I50" s="64"/>
      <c r="K50" s="64"/>
      <c r="L50" s="108"/>
      <c r="M50" s="108"/>
      <c r="N50" s="229"/>
    </row>
    <row r="51" spans="1:14" x14ac:dyDescent="0.25">
      <c r="A51" s="111">
        <v>49</v>
      </c>
      <c r="B51" s="110" t="s">
        <v>175</v>
      </c>
      <c r="C51" s="412">
        <v>-1054236.79</v>
      </c>
      <c r="D51" s="64">
        <v>-2701567.97</v>
      </c>
      <c r="E51" s="64"/>
      <c r="F51" s="64"/>
      <c r="G51" s="64"/>
      <c r="I51" s="64"/>
      <c r="K51" s="64"/>
      <c r="L51" s="108"/>
      <c r="M51" s="108"/>
      <c r="N51" s="229"/>
    </row>
    <row r="52" spans="1:14" x14ac:dyDescent="0.25">
      <c r="A52" s="111">
        <v>50</v>
      </c>
      <c r="B52" s="110" t="s">
        <v>174</v>
      </c>
      <c r="C52" s="412">
        <v>4262033.74</v>
      </c>
      <c r="D52" s="64">
        <v>3913319.93</v>
      </c>
      <c r="E52" s="64"/>
      <c r="F52" s="64"/>
      <c r="G52" s="64"/>
      <c r="I52" s="64"/>
      <c r="K52" s="64"/>
      <c r="L52" s="108"/>
      <c r="M52" s="108"/>
      <c r="N52" s="229"/>
    </row>
    <row r="53" spans="1:14" x14ac:dyDescent="0.25">
      <c r="A53" s="111">
        <v>51</v>
      </c>
      <c r="B53" s="110" t="s">
        <v>173</v>
      </c>
      <c r="C53" s="412">
        <v>1514342.51</v>
      </c>
      <c r="D53" s="64">
        <v>1020320.75</v>
      </c>
      <c r="E53" s="64"/>
      <c r="F53" s="64"/>
      <c r="G53" s="64"/>
      <c r="I53" s="64"/>
      <c r="K53" s="64"/>
      <c r="L53" s="108"/>
      <c r="M53" s="108"/>
      <c r="N53" s="229"/>
    </row>
    <row r="54" spans="1:14" x14ac:dyDescent="0.25">
      <c r="A54" s="111">
        <v>52</v>
      </c>
      <c r="B54" s="110" t="s">
        <v>172</v>
      </c>
      <c r="C54" s="412">
        <v>13582347.58</v>
      </c>
      <c r="D54" s="64">
        <v>11561505.02</v>
      </c>
      <c r="E54" s="64"/>
      <c r="F54" s="64"/>
      <c r="G54" s="64"/>
      <c r="I54" s="64"/>
      <c r="K54" s="64"/>
      <c r="L54" s="108"/>
      <c r="M54" s="108"/>
      <c r="N54" s="229"/>
    </row>
    <row r="55" spans="1:14" x14ac:dyDescent="0.25">
      <c r="A55" s="111">
        <v>53</v>
      </c>
      <c r="B55" s="110" t="s">
        <v>171</v>
      </c>
      <c r="C55" s="412">
        <v>5700392.71</v>
      </c>
      <c r="D55" s="64">
        <v>5935307.04</v>
      </c>
      <c r="E55" s="64"/>
      <c r="F55" s="64"/>
      <c r="G55" s="64"/>
      <c r="I55" s="64"/>
      <c r="K55" s="64"/>
      <c r="L55" s="108"/>
      <c r="M55" s="108"/>
      <c r="N55" s="229"/>
    </row>
    <row r="56" spans="1:14" x14ac:dyDescent="0.25">
      <c r="A56" s="111">
        <v>54</v>
      </c>
      <c r="B56" s="110" t="s">
        <v>170</v>
      </c>
      <c r="C56" s="412">
        <v>1321349.6100000001</v>
      </c>
      <c r="D56" s="64">
        <v>1537928.91</v>
      </c>
      <c r="E56" s="64"/>
      <c r="F56" s="64"/>
      <c r="G56" s="64"/>
      <c r="I56" s="64"/>
      <c r="K56" s="64"/>
      <c r="L56" s="108"/>
      <c r="M56" s="108"/>
      <c r="N56" s="229"/>
    </row>
    <row r="57" spans="1:14" x14ac:dyDescent="0.25">
      <c r="A57" s="111">
        <v>55</v>
      </c>
      <c r="B57" s="110" t="s">
        <v>169</v>
      </c>
      <c r="C57" s="412">
        <v>-3620477.01</v>
      </c>
      <c r="D57" s="64">
        <v>-3120390.55</v>
      </c>
      <c r="E57" s="64"/>
      <c r="F57" s="64"/>
      <c r="G57" s="64"/>
      <c r="I57" s="64"/>
      <c r="K57" s="64"/>
      <c r="L57" s="108"/>
      <c r="M57" s="108"/>
      <c r="N57" s="229"/>
    </row>
    <row r="58" spans="1:14" x14ac:dyDescent="0.25">
      <c r="A58" s="111">
        <v>56</v>
      </c>
      <c r="B58" s="110" t="s">
        <v>168</v>
      </c>
      <c r="C58" s="412">
        <v>3755847.36</v>
      </c>
      <c r="D58" s="64">
        <v>2950670.45</v>
      </c>
      <c r="E58" s="64"/>
      <c r="F58" s="64"/>
      <c r="G58" s="64"/>
      <c r="I58" s="64"/>
      <c r="K58" s="64"/>
      <c r="L58" s="108"/>
      <c r="M58" s="108"/>
      <c r="N58" s="229"/>
    </row>
    <row r="59" spans="1:14" x14ac:dyDescent="0.25">
      <c r="A59" s="111">
        <v>57</v>
      </c>
      <c r="B59" s="110" t="s">
        <v>167</v>
      </c>
      <c r="C59" s="412">
        <v>-581218.16</v>
      </c>
      <c r="D59" s="64">
        <v>1244281.55</v>
      </c>
      <c r="E59" s="64"/>
      <c r="F59" s="64"/>
      <c r="G59" s="64"/>
      <c r="I59" s="64"/>
      <c r="K59" s="64"/>
      <c r="L59" s="108"/>
      <c r="M59" s="108"/>
      <c r="N59" s="229"/>
    </row>
    <row r="60" spans="1:14" x14ac:dyDescent="0.25">
      <c r="A60" s="111">
        <v>58</v>
      </c>
      <c r="B60" s="110" t="s">
        <v>166</v>
      </c>
      <c r="C60" s="412">
        <v>1464657.2</v>
      </c>
      <c r="D60" s="64">
        <v>1737662.59</v>
      </c>
      <c r="E60" s="64"/>
      <c r="F60" s="64"/>
      <c r="G60" s="64"/>
      <c r="I60" s="64"/>
      <c r="K60" s="64"/>
      <c r="L60" s="108"/>
      <c r="M60" s="108"/>
      <c r="N60" s="229"/>
    </row>
    <row r="61" spans="1:14" x14ac:dyDescent="0.25">
      <c r="A61" s="111">
        <v>59</v>
      </c>
      <c r="B61" s="110" t="s">
        <v>165</v>
      </c>
      <c r="C61" s="412">
        <v>-583483.25</v>
      </c>
      <c r="D61" s="64">
        <v>-354161.09</v>
      </c>
      <c r="E61" s="64"/>
      <c r="F61" s="64"/>
      <c r="G61" s="64"/>
      <c r="I61" s="64"/>
      <c r="K61" s="64"/>
      <c r="L61" s="108"/>
      <c r="M61" s="108"/>
      <c r="N61" s="229"/>
    </row>
    <row r="62" spans="1:14" x14ac:dyDescent="0.25">
      <c r="A62" s="111">
        <v>60</v>
      </c>
      <c r="B62" s="110" t="s">
        <v>164</v>
      </c>
      <c r="C62" s="412">
        <v>1482674.6</v>
      </c>
      <c r="D62" s="64">
        <v>-215329.36</v>
      </c>
      <c r="E62" s="64"/>
      <c r="F62" s="64"/>
      <c r="G62" s="64"/>
      <c r="I62" s="64"/>
      <c r="K62" s="64"/>
      <c r="L62" s="108"/>
      <c r="M62" s="108"/>
      <c r="N62" s="229"/>
    </row>
    <row r="63" spans="1:14" x14ac:dyDescent="0.25">
      <c r="A63" s="111">
        <v>61</v>
      </c>
      <c r="B63" s="110" t="s">
        <v>163</v>
      </c>
      <c r="C63" s="412">
        <v>-361971.37</v>
      </c>
      <c r="D63" s="64">
        <v>-129569.35</v>
      </c>
      <c r="E63" s="64"/>
      <c r="F63" s="64"/>
      <c r="G63" s="64"/>
      <c r="I63" s="64"/>
      <c r="K63" s="64"/>
      <c r="L63" s="108"/>
      <c r="M63" s="108"/>
      <c r="N63" s="229"/>
    </row>
    <row r="64" spans="1:14" x14ac:dyDescent="0.25">
      <c r="A64" s="111">
        <v>62</v>
      </c>
      <c r="B64" s="110" t="s">
        <v>162</v>
      </c>
      <c r="C64" s="412">
        <v>-2397554.5</v>
      </c>
      <c r="D64" s="64">
        <v>-2018795.74</v>
      </c>
      <c r="E64" s="64"/>
      <c r="F64" s="64"/>
      <c r="G64" s="64"/>
      <c r="I64" s="64"/>
      <c r="K64" s="64"/>
      <c r="L64" s="108"/>
      <c r="M64" s="108"/>
      <c r="N64" s="229"/>
    </row>
    <row r="65" spans="1:14" x14ac:dyDescent="0.25">
      <c r="A65" s="111">
        <v>63</v>
      </c>
      <c r="B65" s="110" t="s">
        <v>161</v>
      </c>
      <c r="C65" s="412">
        <v>505123.03</v>
      </c>
      <c r="D65" s="64">
        <v>288362.65000000002</v>
      </c>
      <c r="E65" s="64"/>
      <c r="F65" s="64"/>
      <c r="G65" s="64"/>
      <c r="I65" s="64"/>
      <c r="K65" s="64"/>
      <c r="L65" s="108"/>
      <c r="M65" s="108"/>
      <c r="N65" s="229"/>
    </row>
    <row r="66" spans="1:14" x14ac:dyDescent="0.25">
      <c r="A66" s="111">
        <v>64</v>
      </c>
      <c r="B66" s="110" t="s">
        <v>160</v>
      </c>
      <c r="C66" s="412">
        <v>1447964.25</v>
      </c>
      <c r="D66" s="64">
        <v>1808133.58</v>
      </c>
      <c r="E66" s="64"/>
      <c r="F66" s="64"/>
      <c r="G66" s="64"/>
      <c r="I66" s="64"/>
      <c r="K66" s="64"/>
      <c r="L66" s="108"/>
      <c r="M66" s="108"/>
      <c r="N66" s="229"/>
    </row>
    <row r="67" spans="1:14" x14ac:dyDescent="0.25">
      <c r="A67" s="111">
        <v>65</v>
      </c>
      <c r="B67" s="110" t="s">
        <v>159</v>
      </c>
      <c r="C67" s="412">
        <v>-1373230.51</v>
      </c>
      <c r="D67" s="64">
        <v>-1444400.25</v>
      </c>
      <c r="E67" s="64"/>
      <c r="F67" s="64"/>
      <c r="G67" s="64"/>
      <c r="I67" s="64"/>
      <c r="K67" s="64"/>
      <c r="L67" s="108"/>
      <c r="M67" s="108"/>
      <c r="N67" s="229"/>
    </row>
    <row r="68" spans="1:14" x14ac:dyDescent="0.25">
      <c r="A68" s="111">
        <v>66</v>
      </c>
      <c r="B68" s="110" t="s">
        <v>158</v>
      </c>
      <c r="C68" s="412">
        <v>2114261.2400000002</v>
      </c>
      <c r="D68" s="64">
        <v>2400942.12</v>
      </c>
      <c r="E68" s="64"/>
      <c r="F68" s="64"/>
      <c r="G68" s="64"/>
      <c r="I68" s="64"/>
      <c r="K68" s="64"/>
      <c r="L68" s="108"/>
      <c r="M68" s="108"/>
      <c r="N68" s="229"/>
    </row>
    <row r="69" spans="1:14" x14ac:dyDescent="0.25">
      <c r="A69" s="111">
        <v>67</v>
      </c>
      <c r="B69" s="110" t="s">
        <v>157</v>
      </c>
      <c r="C69" s="412">
        <v>-1145715.67</v>
      </c>
      <c r="D69" s="64">
        <v>-1074355.3600000001</v>
      </c>
      <c r="E69" s="64"/>
      <c r="F69" s="64"/>
      <c r="G69" s="64"/>
      <c r="I69" s="64"/>
      <c r="K69" s="64"/>
      <c r="L69" s="108"/>
      <c r="M69" s="108"/>
      <c r="N69" s="229"/>
    </row>
    <row r="70" spans="1:14" x14ac:dyDescent="0.25">
      <c r="A70" s="111">
        <v>68</v>
      </c>
      <c r="B70" s="110" t="s">
        <v>156</v>
      </c>
      <c r="C70" s="412">
        <v>1107317.48</v>
      </c>
      <c r="D70" s="64">
        <v>1421895.78</v>
      </c>
      <c r="E70" s="64"/>
      <c r="F70" s="64"/>
      <c r="G70" s="64"/>
      <c r="I70" s="64"/>
      <c r="K70" s="64"/>
      <c r="L70" s="108"/>
      <c r="M70" s="108"/>
      <c r="N70" s="229"/>
    </row>
    <row r="71" spans="1:14" x14ac:dyDescent="0.25">
      <c r="A71" s="111">
        <v>69</v>
      </c>
      <c r="B71" s="110" t="s">
        <v>155</v>
      </c>
      <c r="C71" s="412">
        <v>1374308.25</v>
      </c>
      <c r="D71" s="64">
        <v>445902.82</v>
      </c>
      <c r="E71" s="64"/>
      <c r="F71" s="64"/>
      <c r="G71" s="64"/>
      <c r="I71" s="64"/>
      <c r="K71" s="64"/>
      <c r="L71" s="108"/>
      <c r="M71" s="108"/>
      <c r="N71" s="229"/>
    </row>
    <row r="72" spans="1:14" x14ac:dyDescent="0.25">
      <c r="A72" s="111">
        <v>70</v>
      </c>
      <c r="B72" s="110" t="s">
        <v>154</v>
      </c>
      <c r="C72" s="412">
        <v>3043181.32</v>
      </c>
      <c r="D72" s="64">
        <v>3203429.06</v>
      </c>
      <c r="E72" s="64"/>
      <c r="F72" s="64"/>
      <c r="G72" s="64"/>
      <c r="I72" s="64"/>
      <c r="K72" s="64"/>
      <c r="L72" s="108"/>
      <c r="M72" s="108"/>
      <c r="N72" s="229"/>
    </row>
    <row r="73" spans="1:14" x14ac:dyDescent="0.25">
      <c r="A73" s="111">
        <v>71</v>
      </c>
      <c r="B73" s="110" t="s">
        <v>153</v>
      </c>
      <c r="C73" s="412">
        <v>1573851.66</v>
      </c>
      <c r="D73" s="64">
        <v>-880086.88</v>
      </c>
      <c r="E73" s="64"/>
      <c r="F73" s="64"/>
      <c r="G73" s="64"/>
      <c r="I73" s="64"/>
      <c r="K73" s="64"/>
      <c r="L73" s="108"/>
      <c r="M73" s="108"/>
      <c r="N73" s="229"/>
    </row>
    <row r="74" spans="1:14" x14ac:dyDescent="0.25">
      <c r="A74" s="111">
        <v>72</v>
      </c>
      <c r="B74" s="110" t="s">
        <v>152</v>
      </c>
      <c r="C74" s="412">
        <v>2741800.65</v>
      </c>
      <c r="D74" s="64">
        <v>3002056.42</v>
      </c>
      <c r="E74" s="64"/>
      <c r="F74" s="64"/>
      <c r="G74" s="64"/>
      <c r="I74" s="64"/>
      <c r="K74" s="64"/>
      <c r="L74" s="108"/>
      <c r="M74" s="108"/>
      <c r="N74" s="229"/>
    </row>
    <row r="75" spans="1:14" x14ac:dyDescent="0.25">
      <c r="A75" s="111">
        <v>73</v>
      </c>
      <c r="B75" s="110" t="s">
        <v>151</v>
      </c>
      <c r="C75" s="412">
        <v>-1897232.14</v>
      </c>
      <c r="D75" s="64">
        <v>-2661983</v>
      </c>
      <c r="E75" s="64"/>
      <c r="F75" s="64"/>
      <c r="G75" s="64"/>
      <c r="I75" s="64"/>
      <c r="K75" s="64"/>
      <c r="L75" s="108"/>
      <c r="M75" s="108"/>
      <c r="N75" s="229"/>
    </row>
    <row r="76" spans="1:14" x14ac:dyDescent="0.25">
      <c r="A76" s="111">
        <v>74</v>
      </c>
      <c r="B76" s="110" t="s">
        <v>150</v>
      </c>
      <c r="C76" s="412">
        <v>985076.68</v>
      </c>
      <c r="D76" s="64">
        <v>1284561.5</v>
      </c>
      <c r="E76" s="64"/>
      <c r="F76" s="64"/>
      <c r="G76" s="64"/>
      <c r="I76" s="64"/>
      <c r="K76" s="64"/>
      <c r="L76" s="108"/>
      <c r="M76" s="108"/>
      <c r="N76" s="229"/>
    </row>
    <row r="77" spans="1:14" x14ac:dyDescent="0.25">
      <c r="A77" s="111">
        <v>75</v>
      </c>
      <c r="B77" s="110" t="s">
        <v>149</v>
      </c>
      <c r="C77" s="412">
        <v>-2347456.08</v>
      </c>
      <c r="D77" s="64">
        <v>-4560079.3899999997</v>
      </c>
      <c r="E77" s="64"/>
      <c r="F77" s="64"/>
      <c r="G77" s="64"/>
      <c r="I77" s="64"/>
      <c r="K77" s="64"/>
      <c r="L77" s="108"/>
      <c r="M77" s="108"/>
      <c r="N77" s="229"/>
    </row>
    <row r="78" spans="1:14" x14ac:dyDescent="0.25">
      <c r="A78" s="111">
        <v>76</v>
      </c>
      <c r="B78" s="110" t="s">
        <v>148</v>
      </c>
      <c r="C78" s="412">
        <v>2295116.13</v>
      </c>
      <c r="D78" s="64">
        <v>1182928.56</v>
      </c>
      <c r="E78" s="64"/>
      <c r="F78" s="64"/>
      <c r="G78" s="64"/>
      <c r="I78" s="64"/>
      <c r="K78" s="64"/>
      <c r="L78" s="108"/>
      <c r="M78" s="108"/>
      <c r="N78" s="229"/>
    </row>
    <row r="79" spans="1:14" x14ac:dyDescent="0.25">
      <c r="A79" s="111">
        <v>77</v>
      </c>
      <c r="B79" s="110" t="s">
        <v>147</v>
      </c>
      <c r="C79" s="412">
        <v>15519246.82</v>
      </c>
      <c r="D79" s="64">
        <v>17997011.93</v>
      </c>
      <c r="E79" s="64"/>
      <c r="F79" s="64"/>
      <c r="G79" s="64"/>
      <c r="I79" s="64"/>
      <c r="K79" s="64"/>
      <c r="L79" s="108"/>
      <c r="M79" s="108"/>
      <c r="N79" s="229"/>
    </row>
    <row r="80" spans="1:14" x14ac:dyDescent="0.25">
      <c r="A80" s="111">
        <v>78</v>
      </c>
      <c r="B80" s="110" t="s">
        <v>146</v>
      </c>
      <c r="C80" s="412">
        <v>87651.67</v>
      </c>
      <c r="D80" s="64">
        <v>815418.29</v>
      </c>
      <c r="E80" s="64"/>
      <c r="F80" s="64"/>
      <c r="G80" s="64"/>
      <c r="I80" s="64"/>
      <c r="K80" s="64"/>
      <c r="L80" s="108"/>
      <c r="M80" s="108"/>
      <c r="N80" s="229"/>
    </row>
    <row r="81" spans="1:14" x14ac:dyDescent="0.25">
      <c r="A81" s="111">
        <v>79</v>
      </c>
      <c r="B81" s="110" t="s">
        <v>145</v>
      </c>
      <c r="C81" s="412">
        <v>3048424.17</v>
      </c>
      <c r="D81" s="64">
        <v>3376099.14</v>
      </c>
      <c r="E81" s="64"/>
      <c r="F81" s="64"/>
      <c r="G81" s="64"/>
      <c r="I81" s="64"/>
      <c r="K81" s="64"/>
      <c r="L81" s="108"/>
      <c r="M81" s="108"/>
      <c r="N81" s="229"/>
    </row>
    <row r="82" spans="1:14" x14ac:dyDescent="0.25">
      <c r="A82" s="111">
        <v>80</v>
      </c>
      <c r="B82" s="110" t="s">
        <v>144</v>
      </c>
      <c r="C82" s="412">
        <v>709621.4</v>
      </c>
      <c r="D82" s="64">
        <v>1008858.1</v>
      </c>
      <c r="E82" s="64"/>
      <c r="F82" s="64"/>
      <c r="G82" s="64"/>
      <c r="I82" s="64"/>
      <c r="K82" s="64"/>
      <c r="L82" s="108"/>
      <c r="M82" s="108"/>
      <c r="N82" s="229"/>
    </row>
    <row r="83" spans="1:14" x14ac:dyDescent="0.25">
      <c r="A83" s="111">
        <v>81</v>
      </c>
      <c r="B83" s="110" t="s">
        <v>143</v>
      </c>
      <c r="C83" s="412">
        <v>3661975.23</v>
      </c>
      <c r="D83" s="64">
        <v>4003468.64</v>
      </c>
      <c r="E83" s="64"/>
      <c r="F83" s="64"/>
      <c r="G83" s="64"/>
      <c r="I83" s="64"/>
      <c r="K83" s="64"/>
      <c r="L83" s="108"/>
      <c r="M83" s="108"/>
      <c r="N83" s="229"/>
    </row>
    <row r="84" spans="1:14" x14ac:dyDescent="0.25">
      <c r="A84" s="111">
        <v>82</v>
      </c>
      <c r="B84" s="110" t="s">
        <v>142</v>
      </c>
      <c r="C84" s="412">
        <v>2794694.92</v>
      </c>
      <c r="D84" s="64">
        <v>3122340.08</v>
      </c>
      <c r="E84" s="64"/>
      <c r="F84" s="64"/>
      <c r="G84" s="64"/>
      <c r="I84" s="64"/>
      <c r="K84" s="64"/>
      <c r="L84" s="108"/>
      <c r="M84" s="108"/>
      <c r="N84" s="229"/>
    </row>
    <row r="85" spans="1:14" x14ac:dyDescent="0.25">
      <c r="A85" s="111">
        <v>83</v>
      </c>
      <c r="B85" s="110" t="s">
        <v>141</v>
      </c>
      <c r="C85" s="412">
        <v>791780.92</v>
      </c>
      <c r="D85" s="64">
        <v>878606.7</v>
      </c>
      <c r="E85" s="64"/>
      <c r="F85" s="64"/>
      <c r="G85" s="64"/>
      <c r="I85" s="64"/>
      <c r="K85" s="64"/>
      <c r="L85" s="108"/>
      <c r="M85" s="108"/>
      <c r="N85" s="229"/>
    </row>
    <row r="86" spans="1:14" x14ac:dyDescent="0.25">
      <c r="A86" s="111">
        <v>84</v>
      </c>
      <c r="B86" s="110" t="s">
        <v>140</v>
      </c>
      <c r="C86" s="412">
        <v>-1151840.55</v>
      </c>
      <c r="D86" s="64">
        <v>-2770865.24</v>
      </c>
      <c r="E86" s="64"/>
      <c r="F86" s="64"/>
      <c r="G86" s="64"/>
      <c r="I86" s="64"/>
      <c r="K86" s="64"/>
      <c r="L86" s="108"/>
      <c r="M86" s="108"/>
      <c r="N86" s="229"/>
    </row>
    <row r="87" spans="1:14" x14ac:dyDescent="0.25">
      <c r="A87" s="111">
        <v>85</v>
      </c>
      <c r="B87" s="110" t="s">
        <v>139</v>
      </c>
      <c r="C87" s="412">
        <v>4018711.62</v>
      </c>
      <c r="D87" s="64">
        <v>2610327.9300000002</v>
      </c>
      <c r="E87" s="64"/>
      <c r="F87" s="64"/>
      <c r="G87" s="64"/>
      <c r="I87" s="64"/>
      <c r="K87" s="64"/>
      <c r="L87" s="108"/>
      <c r="M87" s="108"/>
      <c r="N87" s="229"/>
    </row>
    <row r="88" spans="1:14" x14ac:dyDescent="0.25">
      <c r="A88" s="111">
        <v>86</v>
      </c>
      <c r="B88" s="110" t="s">
        <v>138</v>
      </c>
      <c r="C88" s="412">
        <v>1602470.99</v>
      </c>
      <c r="D88" s="64">
        <v>2053300.17</v>
      </c>
      <c r="E88" s="64"/>
      <c r="F88" s="64"/>
      <c r="G88" s="64"/>
      <c r="I88" s="64"/>
      <c r="K88" s="64"/>
      <c r="L88" s="108"/>
      <c r="M88" s="108"/>
      <c r="N88" s="229"/>
    </row>
    <row r="89" spans="1:14" x14ac:dyDescent="0.25">
      <c r="A89" s="111">
        <v>87</v>
      </c>
      <c r="B89" s="110" t="s">
        <v>137</v>
      </c>
      <c r="C89" s="412">
        <v>2453222.4500000002</v>
      </c>
      <c r="D89" s="64">
        <v>1973190.35</v>
      </c>
      <c r="E89" s="64"/>
      <c r="F89" s="64"/>
      <c r="G89" s="64"/>
      <c r="I89" s="64"/>
      <c r="K89" s="64"/>
      <c r="L89" s="108"/>
      <c r="M89" s="108"/>
      <c r="N89" s="229"/>
    </row>
    <row r="90" spans="1:14" x14ac:dyDescent="0.25">
      <c r="A90" s="111">
        <v>88</v>
      </c>
      <c r="B90" s="110" t="s">
        <v>136</v>
      </c>
      <c r="C90" s="412">
        <v>2556288.23</v>
      </c>
      <c r="D90" s="64">
        <v>2754901.13</v>
      </c>
      <c r="E90" s="64"/>
      <c r="F90" s="64"/>
      <c r="G90" s="64"/>
      <c r="I90" s="64"/>
      <c r="K90" s="64"/>
      <c r="L90" s="108"/>
      <c r="M90" s="108"/>
      <c r="N90" s="229"/>
    </row>
    <row r="91" spans="1:14" x14ac:dyDescent="0.25">
      <c r="A91" s="111">
        <v>89</v>
      </c>
      <c r="B91" s="110" t="s">
        <v>135</v>
      </c>
      <c r="C91" s="412">
        <v>766680.47</v>
      </c>
      <c r="D91" s="64">
        <v>1013159.05</v>
      </c>
      <c r="E91" s="64"/>
      <c r="F91" s="64"/>
      <c r="G91" s="64"/>
      <c r="I91" s="64"/>
      <c r="K91" s="64"/>
      <c r="L91" s="108"/>
      <c r="M91" s="108"/>
      <c r="N91" s="229"/>
    </row>
    <row r="92" spans="1:14" x14ac:dyDescent="0.25">
      <c r="A92" s="111">
        <v>90</v>
      </c>
      <c r="B92" s="110" t="s">
        <v>134</v>
      </c>
      <c r="C92" s="412">
        <v>929349.34</v>
      </c>
      <c r="D92" s="64">
        <v>1290500.2</v>
      </c>
      <c r="E92" s="64"/>
      <c r="F92" s="64"/>
      <c r="G92" s="64"/>
      <c r="I92" s="64"/>
      <c r="K92" s="64"/>
      <c r="L92" s="108"/>
      <c r="M92" s="108"/>
      <c r="N92" s="229"/>
    </row>
    <row r="93" spans="1:14" x14ac:dyDescent="0.25">
      <c r="A93" s="111">
        <v>91</v>
      </c>
      <c r="B93" s="110" t="s">
        <v>133</v>
      </c>
      <c r="C93" s="412">
        <v>666511.93999999994</v>
      </c>
      <c r="D93" s="64">
        <v>1163879.22</v>
      </c>
      <c r="E93" s="64"/>
      <c r="F93" s="64"/>
      <c r="G93" s="64"/>
      <c r="I93" s="64"/>
      <c r="K93" s="64"/>
      <c r="L93" s="108"/>
      <c r="M93" s="108"/>
      <c r="N93" s="229"/>
    </row>
    <row r="94" spans="1:14" x14ac:dyDescent="0.25">
      <c r="A94" s="111">
        <v>92</v>
      </c>
      <c r="B94" s="110" t="s">
        <v>132</v>
      </c>
      <c r="C94" s="412">
        <v>4527490.4400000004</v>
      </c>
      <c r="D94" s="64">
        <v>3675906.84</v>
      </c>
      <c r="E94" s="64"/>
      <c r="F94" s="64"/>
      <c r="G94" s="64"/>
      <c r="I94" s="64"/>
      <c r="K94" s="64"/>
      <c r="L94" s="108"/>
      <c r="M94" s="108"/>
      <c r="N94" s="229"/>
    </row>
    <row r="95" spans="1:14" x14ac:dyDescent="0.25">
      <c r="A95" s="111">
        <v>93</v>
      </c>
      <c r="B95" s="110" t="s">
        <v>131</v>
      </c>
      <c r="C95" s="412">
        <v>2571054.36</v>
      </c>
      <c r="D95" s="64">
        <v>2546198.39</v>
      </c>
      <c r="E95" s="64"/>
      <c r="F95" s="64"/>
      <c r="G95" s="64"/>
      <c r="I95" s="64"/>
      <c r="K95" s="64"/>
      <c r="L95" s="108"/>
      <c r="M95" s="108"/>
      <c r="N95" s="229"/>
    </row>
    <row r="96" spans="1:14" x14ac:dyDescent="0.25">
      <c r="A96" s="111">
        <v>94</v>
      </c>
      <c r="B96" s="110" t="s">
        <v>130</v>
      </c>
      <c r="C96" s="412">
        <v>-227608.39</v>
      </c>
      <c r="D96" s="64">
        <v>-2563440.38</v>
      </c>
      <c r="E96" s="64"/>
      <c r="F96" s="64"/>
      <c r="G96" s="64"/>
      <c r="I96" s="64"/>
      <c r="K96" s="64"/>
      <c r="L96" s="108"/>
      <c r="M96" s="108"/>
      <c r="N96" s="229"/>
    </row>
    <row r="97" spans="1:15" x14ac:dyDescent="0.25">
      <c r="A97" s="111">
        <v>95</v>
      </c>
      <c r="B97" s="110" t="s">
        <v>129</v>
      </c>
      <c r="C97" s="412">
        <v>-511069.95</v>
      </c>
      <c r="D97" s="64">
        <v>-281827.40000000002</v>
      </c>
      <c r="E97" s="64"/>
      <c r="F97" s="64"/>
      <c r="G97" s="64"/>
      <c r="I97" s="64"/>
      <c r="K97" s="64"/>
      <c r="L97" s="108"/>
      <c r="M97" s="108"/>
      <c r="N97" s="229"/>
    </row>
    <row r="98" spans="1:15" x14ac:dyDescent="0.25">
      <c r="A98" s="111">
        <v>96</v>
      </c>
      <c r="B98" s="110" t="s">
        <v>128</v>
      </c>
      <c r="C98" s="412">
        <v>-742114.71</v>
      </c>
      <c r="D98" s="64">
        <v>-267836.28000000003</v>
      </c>
      <c r="E98" s="64"/>
      <c r="F98" s="64"/>
      <c r="G98" s="64"/>
      <c r="I98" s="64"/>
      <c r="K98" s="64"/>
      <c r="L98" s="108"/>
      <c r="M98" s="108"/>
      <c r="N98" s="229"/>
    </row>
    <row r="99" spans="1:15" x14ac:dyDescent="0.25">
      <c r="A99" s="111">
        <v>97</v>
      </c>
      <c r="B99" s="110" t="s">
        <v>127</v>
      </c>
      <c r="C99" s="412">
        <v>-785479.38</v>
      </c>
      <c r="D99" s="64">
        <v>-690050.93</v>
      </c>
      <c r="E99" s="64"/>
      <c r="F99" s="64"/>
      <c r="G99" s="64"/>
      <c r="I99" s="64"/>
      <c r="K99" s="64"/>
      <c r="L99" s="108"/>
      <c r="M99" s="108"/>
      <c r="N99" s="229"/>
    </row>
    <row r="100" spans="1:15" x14ac:dyDescent="0.25">
      <c r="A100" s="111">
        <v>98</v>
      </c>
      <c r="B100" s="110" t="s">
        <v>126</v>
      </c>
      <c r="C100" s="412">
        <v>1097687.32</v>
      </c>
      <c r="D100" s="64">
        <v>79281.11</v>
      </c>
      <c r="E100" s="64"/>
      <c r="F100" s="64"/>
      <c r="G100" s="64"/>
      <c r="I100" s="64"/>
      <c r="K100" s="64"/>
      <c r="L100" s="108"/>
      <c r="M100" s="108"/>
      <c r="N100" s="229"/>
    </row>
    <row r="101" spans="1:15" x14ac:dyDescent="0.25">
      <c r="A101" s="111">
        <v>99</v>
      </c>
      <c r="B101" s="110" t="s">
        <v>125</v>
      </c>
      <c r="C101" s="412">
        <v>543493.57999999996</v>
      </c>
      <c r="D101" s="64">
        <v>145632.37</v>
      </c>
      <c r="E101" s="64"/>
      <c r="F101" s="64"/>
      <c r="G101" s="64"/>
      <c r="I101" s="64"/>
      <c r="K101" s="64"/>
      <c r="L101" s="108"/>
      <c r="M101" s="108"/>
      <c r="N101" s="229"/>
    </row>
    <row r="102" spans="1:15" x14ac:dyDescent="0.25">
      <c r="A102" s="376"/>
      <c r="B102" s="107" t="s">
        <v>289</v>
      </c>
      <c r="C102" s="448">
        <f>SUM(C3:C101)</f>
        <v>121472943.80000004</v>
      </c>
      <c r="D102" s="449">
        <f>SUM(D3:D101)</f>
        <v>115401462.21000002</v>
      </c>
      <c r="E102" s="447">
        <f>SUM(E3:E101)</f>
        <v>0</v>
      </c>
      <c r="F102" s="447">
        <f t="shared" ref="F102:G102" si="0">SUM(F3:F101)</f>
        <v>0</v>
      </c>
      <c r="G102" s="447">
        <f t="shared" si="0"/>
        <v>0</v>
      </c>
      <c r="H102" s="415" t="s">
        <v>296</v>
      </c>
      <c r="I102" s="64"/>
      <c r="K102" s="64"/>
      <c r="L102" s="108"/>
      <c r="M102" s="108"/>
      <c r="N102" s="108"/>
      <c r="O102" s="108"/>
    </row>
    <row r="103" spans="1:15" x14ac:dyDescent="0.25">
      <c r="A103" s="107"/>
      <c r="B103" s="107" t="s">
        <v>256</v>
      </c>
      <c r="C103" s="410">
        <v>3212188.61</v>
      </c>
      <c r="D103" s="51">
        <v>3344329.15</v>
      </c>
      <c r="E103" s="51"/>
      <c r="F103" s="51"/>
      <c r="G103" s="51"/>
    </row>
    <row r="104" spans="1:15" x14ac:dyDescent="0.25">
      <c r="B104" s="107" t="s">
        <v>231</v>
      </c>
      <c r="C104" s="413">
        <f>C102+C103</f>
        <v>124685132.41000004</v>
      </c>
      <c r="D104" s="352">
        <f>SUM(D102:D103)</f>
        <v>118745791.36000003</v>
      </c>
      <c r="E104" s="352">
        <f>SUM(E102:E103)</f>
        <v>0</v>
      </c>
      <c r="F104" s="352">
        <f>SUM(F102:F103)</f>
        <v>0</v>
      </c>
      <c r="G104" s="352">
        <f>SUM(G102:G103)</f>
        <v>0</v>
      </c>
    </row>
    <row r="105" spans="1:15" x14ac:dyDescent="0.25">
      <c r="B105" s="235" t="s">
        <v>258</v>
      </c>
      <c r="C105" s="410">
        <v>124685132.41</v>
      </c>
      <c r="D105" s="51">
        <v>118745791.36</v>
      </c>
      <c r="E105" s="51"/>
      <c r="F105" s="51"/>
      <c r="G105" s="51"/>
    </row>
    <row r="106" spans="1:15" x14ac:dyDescent="0.25">
      <c r="B106" s="235" t="s">
        <v>259</v>
      </c>
      <c r="C106" s="414">
        <f>C104-C105</f>
        <v>0</v>
      </c>
      <c r="D106" s="388">
        <f>D104-D105</f>
        <v>0</v>
      </c>
      <c r="E106" s="388">
        <f>E104-E105</f>
        <v>0</v>
      </c>
      <c r="F106" s="388">
        <f>F104-F105</f>
        <v>0</v>
      </c>
      <c r="G106" s="388">
        <f>G104-G105</f>
        <v>0</v>
      </c>
    </row>
    <row r="108" spans="1:15" x14ac:dyDescent="0.25">
      <c r="D108" s="64"/>
    </row>
  </sheetData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020A4-0C95-483C-BC4A-5ECA6714C3E6}">
  <dimension ref="A1:AD106"/>
  <sheetViews>
    <sheetView workbookViewId="0">
      <pane xSplit="2" ySplit="1" topLeftCell="S2" activePane="bottomRight" state="frozen"/>
      <selection pane="topRight" activeCell="C1" sqref="C1"/>
      <selection pane="bottomLeft" activeCell="A2" sqref="A2"/>
      <selection pane="bottomRight" activeCell="U105" sqref="U105"/>
    </sheetView>
  </sheetViews>
  <sheetFormatPr defaultRowHeight="15" x14ac:dyDescent="0.25"/>
  <cols>
    <col min="2" max="2" width="21" customWidth="1"/>
    <col min="3" max="3" width="19.5703125" style="216" customWidth="1"/>
    <col min="4" max="4" width="14.5703125" style="223" bestFit="1" customWidth="1"/>
    <col min="5" max="5" width="14.5703125" style="224" bestFit="1" customWidth="1"/>
    <col min="6" max="6" width="14.85546875" style="224" bestFit="1" customWidth="1"/>
    <col min="7" max="7" width="15" style="225" bestFit="1" customWidth="1"/>
    <col min="8" max="9" width="15" style="228" customWidth="1"/>
    <col min="10" max="11" width="15.5703125" style="228" bestFit="1" customWidth="1"/>
    <col min="12" max="12" width="16.85546875" style="349" customWidth="1"/>
    <col min="13" max="15" width="18.28515625" style="379" customWidth="1"/>
    <col min="16" max="16" width="16.85546875" style="425" customWidth="1"/>
    <col min="17" max="19" width="18.28515625" style="426" customWidth="1"/>
    <col min="20" max="20" width="16.85546875" style="466" customWidth="1"/>
    <col min="21" max="23" width="18.28515625" style="467" customWidth="1"/>
    <col min="24" max="24" width="19.28515625" customWidth="1"/>
    <col min="26" max="26" width="14.5703125" bestFit="1" customWidth="1"/>
  </cols>
  <sheetData>
    <row r="1" spans="1:30" ht="30" x14ac:dyDescent="0.25">
      <c r="A1" s="116" t="s">
        <v>225</v>
      </c>
      <c r="B1" s="116" t="s">
        <v>7</v>
      </c>
      <c r="C1" s="215" t="s">
        <v>239</v>
      </c>
      <c r="D1" s="217" t="s">
        <v>240</v>
      </c>
      <c r="E1" s="218" t="s">
        <v>241</v>
      </c>
      <c r="F1" s="218" t="s">
        <v>242</v>
      </c>
      <c r="G1" s="219" t="s">
        <v>253</v>
      </c>
      <c r="H1" s="226" t="s">
        <v>266</v>
      </c>
      <c r="I1" s="226" t="s">
        <v>267</v>
      </c>
      <c r="J1" s="280" t="s">
        <v>268</v>
      </c>
      <c r="K1" s="280" t="s">
        <v>285</v>
      </c>
      <c r="L1" s="347" t="s">
        <v>286</v>
      </c>
      <c r="M1" s="380" t="s">
        <v>290</v>
      </c>
      <c r="N1" s="380" t="s">
        <v>297</v>
      </c>
      <c r="O1" s="380" t="s">
        <v>300</v>
      </c>
      <c r="P1" s="421" t="s">
        <v>319</v>
      </c>
      <c r="Q1" s="422" t="s">
        <v>326</v>
      </c>
      <c r="R1" s="422" t="s">
        <v>325</v>
      </c>
      <c r="S1" s="422" t="s">
        <v>324</v>
      </c>
      <c r="T1" s="458" t="s">
        <v>321</v>
      </c>
      <c r="U1" s="459" t="s">
        <v>320</v>
      </c>
      <c r="V1" s="459" t="s">
        <v>322</v>
      </c>
      <c r="W1" s="459" t="s">
        <v>323</v>
      </c>
      <c r="Y1" s="106" t="s">
        <v>124</v>
      </c>
    </row>
    <row r="2" spans="1:30" ht="16.5" x14ac:dyDescent="0.25">
      <c r="A2" s="117">
        <v>1</v>
      </c>
      <c r="B2" s="118" t="s">
        <v>9</v>
      </c>
      <c r="C2" s="216">
        <v>-3165936.66</v>
      </c>
      <c r="D2" s="220">
        <v>-192287.25</v>
      </c>
      <c r="E2" s="221">
        <v>-160642.35</v>
      </c>
      <c r="F2" s="221">
        <v>-121528.75</v>
      </c>
      <c r="G2" s="222">
        <v>-256336.5</v>
      </c>
      <c r="H2" s="227"/>
      <c r="I2" s="227"/>
      <c r="J2" s="227">
        <v>-1235888.2</v>
      </c>
      <c r="K2" s="227">
        <v>-736770.97</v>
      </c>
      <c r="L2" s="348">
        <v>-418122.21</v>
      </c>
      <c r="M2" s="378">
        <v>-379346.11</v>
      </c>
      <c r="N2" s="378">
        <v>-587513.71</v>
      </c>
      <c r="O2" s="378">
        <v>-144230.73000000001</v>
      </c>
      <c r="P2" s="423">
        <v>-1178155.17</v>
      </c>
      <c r="Q2" s="424">
        <v>-187884.36</v>
      </c>
      <c r="R2" s="424">
        <v>-102384.12</v>
      </c>
      <c r="S2" s="424">
        <v>-397006.06</v>
      </c>
      <c r="T2" s="460">
        <v>-310287.59000000003</v>
      </c>
      <c r="U2" s="461">
        <v>-310287.59000000003</v>
      </c>
      <c r="V2" s="461"/>
      <c r="W2" s="461"/>
      <c r="X2" s="51"/>
      <c r="Y2" t="s">
        <v>293</v>
      </c>
    </row>
    <row r="3" spans="1:30" ht="16.5" x14ac:dyDescent="0.25">
      <c r="A3" s="119">
        <v>2</v>
      </c>
      <c r="B3" s="120" t="s">
        <v>10</v>
      </c>
      <c r="C3" s="216">
        <v>304339.38</v>
      </c>
      <c r="D3" s="220">
        <v>304339.38</v>
      </c>
      <c r="E3" s="221">
        <v>-469765.73</v>
      </c>
      <c r="F3" s="221">
        <v>-774105.11</v>
      </c>
      <c r="G3" s="222">
        <v>-573209.11</v>
      </c>
      <c r="H3" s="227"/>
      <c r="I3" s="227"/>
      <c r="J3" s="227">
        <v>-2996591.96</v>
      </c>
      <c r="K3" s="227">
        <v>-2721839.4600000004</v>
      </c>
      <c r="L3" s="348">
        <v>-2047359.93</v>
      </c>
      <c r="M3" s="378">
        <v>-529785.17999999993</v>
      </c>
      <c r="N3" s="378">
        <v>-1286362.6299999999</v>
      </c>
      <c r="O3" s="378">
        <v>-1264762.6299999999</v>
      </c>
      <c r="P3" s="423">
        <v>-630828.14</v>
      </c>
      <c r="Q3" s="424">
        <v>-446756.08</v>
      </c>
      <c r="R3" s="424">
        <v>-446756.08</v>
      </c>
      <c r="S3" s="424">
        <v>-440354.83</v>
      </c>
      <c r="T3" s="460">
        <v>-440354.83</v>
      </c>
      <c r="U3" s="461">
        <v>-413497.18</v>
      </c>
      <c r="V3" s="461"/>
      <c r="W3" s="461"/>
      <c r="X3" s="51"/>
      <c r="Y3" t="s">
        <v>291</v>
      </c>
    </row>
    <row r="4" spans="1:30" ht="16.5" x14ac:dyDescent="0.25">
      <c r="A4" s="119">
        <v>3</v>
      </c>
      <c r="B4" s="120" t="s">
        <v>11</v>
      </c>
      <c r="C4" s="216">
        <v>-929641.81</v>
      </c>
      <c r="D4" s="220">
        <v>-929641.81</v>
      </c>
      <c r="E4" s="221">
        <v>-1489036.35</v>
      </c>
      <c r="F4" s="221">
        <v>-2168635</v>
      </c>
      <c r="G4" s="222">
        <v>-950098.31</v>
      </c>
      <c r="H4" s="227"/>
      <c r="I4" s="227"/>
      <c r="J4" s="227">
        <v>-6617294.6600000001</v>
      </c>
      <c r="K4" s="227">
        <v>-5699142.2200000007</v>
      </c>
      <c r="L4" s="348">
        <v>-3160322.37</v>
      </c>
      <c r="M4" s="378">
        <v>-479546.54</v>
      </c>
      <c r="N4" s="378">
        <v>-448350.22</v>
      </c>
      <c r="O4" s="378">
        <v>-875126.41</v>
      </c>
      <c r="P4" s="423">
        <v>-507696.68</v>
      </c>
      <c r="Q4" s="424">
        <v>-64651.1</v>
      </c>
      <c r="R4" s="424">
        <v>0</v>
      </c>
      <c r="S4" s="424">
        <v>0</v>
      </c>
      <c r="T4" s="460">
        <v>0</v>
      </c>
      <c r="U4" s="461">
        <v>0</v>
      </c>
      <c r="V4" s="461"/>
      <c r="W4" s="461"/>
      <c r="X4" s="51"/>
    </row>
    <row r="5" spans="1:30" ht="16.5" customHeight="1" x14ac:dyDescent="0.25">
      <c r="A5" s="119">
        <v>4</v>
      </c>
      <c r="B5" s="120" t="s">
        <v>12</v>
      </c>
      <c r="C5" s="216">
        <v>-794907.08</v>
      </c>
      <c r="D5" s="220">
        <v>-355179.08</v>
      </c>
      <c r="E5" s="221">
        <v>0</v>
      </c>
      <c r="F5" s="221">
        <v>-1278682.05</v>
      </c>
      <c r="G5" s="222">
        <v>-1462447.31</v>
      </c>
      <c r="H5" s="227"/>
      <c r="I5" s="227"/>
      <c r="J5" s="227">
        <v>-2536365.2899999996</v>
      </c>
      <c r="K5" s="227">
        <v>-905385.4</v>
      </c>
      <c r="L5" s="348">
        <v>-690602.4</v>
      </c>
      <c r="M5" s="378">
        <v>-4265134.32</v>
      </c>
      <c r="N5" s="378">
        <v>-4523937.08</v>
      </c>
      <c r="O5" s="378">
        <v>-4214561.13</v>
      </c>
      <c r="P5" s="423">
        <v>-1812112.76</v>
      </c>
      <c r="Q5" s="424">
        <v>-1900355.5499999998</v>
      </c>
      <c r="R5" s="424">
        <v>-1595151.94</v>
      </c>
      <c r="S5" s="424">
        <v>-911503.8</v>
      </c>
      <c r="T5" s="460">
        <v>-98417.9</v>
      </c>
      <c r="U5" s="461">
        <v>-1351191.29</v>
      </c>
      <c r="V5" s="461"/>
      <c r="W5" s="461"/>
      <c r="X5" s="51"/>
      <c r="Y5" s="546" t="s">
        <v>292</v>
      </c>
      <c r="Z5" s="546"/>
      <c r="AA5" s="546"/>
      <c r="AB5" s="546"/>
      <c r="AC5" s="546"/>
      <c r="AD5" s="546"/>
    </row>
    <row r="6" spans="1:30" ht="16.5" x14ac:dyDescent="0.25">
      <c r="A6" s="119">
        <v>5</v>
      </c>
      <c r="B6" s="120" t="s">
        <v>13</v>
      </c>
      <c r="C6" s="216">
        <v>-1867918.91</v>
      </c>
      <c r="D6" s="220">
        <v>-969198.7</v>
      </c>
      <c r="E6" s="221">
        <v>-6656.42</v>
      </c>
      <c r="F6" s="221">
        <v>-6656.42</v>
      </c>
      <c r="G6" s="222">
        <v>-6656.42</v>
      </c>
      <c r="H6" s="227"/>
      <c r="I6" s="227"/>
      <c r="J6" s="227">
        <v>-1791589.55</v>
      </c>
      <c r="K6" s="227">
        <v>-1791589.55</v>
      </c>
      <c r="L6" s="348">
        <v>-1849865.7799999998</v>
      </c>
      <c r="M6" s="378">
        <v>-1791589.55</v>
      </c>
      <c r="N6" s="378">
        <v>-6915622.4000000004</v>
      </c>
      <c r="O6" s="378">
        <v>-128669.05</v>
      </c>
      <c r="P6" s="423">
        <v>-122269.53</v>
      </c>
      <c r="Q6" s="424">
        <v>-122269.52999999997</v>
      </c>
      <c r="R6" s="424">
        <v>-122269.53</v>
      </c>
      <c r="S6" s="424">
        <v>-352196.16</v>
      </c>
      <c r="T6" s="460">
        <v>-155854.71</v>
      </c>
      <c r="U6" s="461">
        <v>-155854.71</v>
      </c>
      <c r="V6" s="461"/>
      <c r="W6" s="461"/>
      <c r="X6" s="51"/>
      <c r="Y6" s="546"/>
      <c r="Z6" s="546"/>
      <c r="AA6" s="546"/>
      <c r="AB6" s="546"/>
      <c r="AC6" s="546"/>
      <c r="AD6" s="546"/>
    </row>
    <row r="7" spans="1:30" ht="16.5" x14ac:dyDescent="0.25">
      <c r="A7" s="119">
        <v>6</v>
      </c>
      <c r="B7" s="120" t="s">
        <v>14</v>
      </c>
      <c r="C7" s="216">
        <v>-406161.63</v>
      </c>
      <c r="D7" s="220">
        <v>-314384.21000000002</v>
      </c>
      <c r="E7" s="221">
        <v>-4025917.7</v>
      </c>
      <c r="F7" s="221">
        <v>-3806658.36</v>
      </c>
      <c r="G7" s="222">
        <v>-2909328.8</v>
      </c>
      <c r="H7" s="227"/>
      <c r="I7" s="227"/>
      <c r="J7" s="227">
        <v>-410898.16</v>
      </c>
      <c r="K7" s="227">
        <v>-423610.8</v>
      </c>
      <c r="L7" s="348">
        <v>-434951.3</v>
      </c>
      <c r="M7" s="378">
        <v>-126577.33999999998</v>
      </c>
      <c r="N7" s="378">
        <v>-125801.34</v>
      </c>
      <c r="O7" s="378">
        <v>-114461.26</v>
      </c>
      <c r="P7" s="423">
        <v>-112056.49</v>
      </c>
      <c r="Q7" s="424">
        <v>-45991.76</v>
      </c>
      <c r="R7" s="424">
        <v>-13718.27</v>
      </c>
      <c r="S7" s="424">
        <v>-5956450.5099999998</v>
      </c>
      <c r="T7" s="460">
        <v>-3783514.31</v>
      </c>
      <c r="U7" s="461">
        <v>-427969.01</v>
      </c>
      <c r="V7" s="461"/>
      <c r="W7" s="461"/>
      <c r="X7" s="51"/>
      <c r="Y7" s="546"/>
      <c r="Z7" s="546"/>
      <c r="AA7" s="546"/>
      <c r="AB7" s="546"/>
      <c r="AC7" s="546"/>
      <c r="AD7" s="546"/>
    </row>
    <row r="8" spans="1:30" ht="16.5" x14ac:dyDescent="0.25">
      <c r="A8" s="119">
        <v>7</v>
      </c>
      <c r="B8" s="120" t="s">
        <v>15</v>
      </c>
      <c r="C8" s="216">
        <v>-4052704.81</v>
      </c>
      <c r="D8" s="220">
        <v>-2086554.6</v>
      </c>
      <c r="E8" s="221">
        <v>-401286.83</v>
      </c>
      <c r="F8" s="221">
        <v>-1668759.35</v>
      </c>
      <c r="G8" s="222">
        <v>-1044931.04</v>
      </c>
      <c r="H8" s="227"/>
      <c r="I8" s="227"/>
      <c r="J8" s="227">
        <v>-2750765.6399999997</v>
      </c>
      <c r="K8" s="227">
        <v>-1781106.41</v>
      </c>
      <c r="L8" s="348">
        <v>-934298.15</v>
      </c>
      <c r="M8" s="378">
        <v>-3579883.78</v>
      </c>
      <c r="N8" s="378">
        <v>-3579883.78</v>
      </c>
      <c r="O8" s="378">
        <v>-470689.13</v>
      </c>
      <c r="P8" s="423">
        <v>-39498.29</v>
      </c>
      <c r="Q8" s="424">
        <v>-2568515.67</v>
      </c>
      <c r="R8" s="424">
        <v>-2409295.81</v>
      </c>
      <c r="S8" s="424">
        <v>-595204.4</v>
      </c>
      <c r="T8" s="460">
        <v>-173020.53</v>
      </c>
      <c r="U8" s="461">
        <v>-2134288.94</v>
      </c>
      <c r="V8" s="461"/>
      <c r="W8" s="461"/>
      <c r="X8" s="51"/>
      <c r="Y8" s="546"/>
      <c r="Z8" s="546"/>
      <c r="AA8" s="546"/>
      <c r="AB8" s="546"/>
      <c r="AC8" s="546"/>
      <c r="AD8" s="546"/>
    </row>
    <row r="9" spans="1:30" ht="16.5" x14ac:dyDescent="0.25">
      <c r="A9" s="119">
        <v>8</v>
      </c>
      <c r="B9" s="120" t="s">
        <v>16</v>
      </c>
      <c r="C9" s="216">
        <v>-1761477.66</v>
      </c>
      <c r="D9" s="220">
        <v>-295505.7</v>
      </c>
      <c r="E9" s="221">
        <v>-1007162.63</v>
      </c>
      <c r="F9" s="221">
        <v>-2059515.4</v>
      </c>
      <c r="G9" s="222">
        <v>-1253561.04</v>
      </c>
      <c r="H9" s="227"/>
      <c r="I9" s="227"/>
      <c r="J9" s="227">
        <v>-19471.329999999998</v>
      </c>
      <c r="K9" s="227">
        <v>-888842.49</v>
      </c>
      <c r="L9" s="348">
        <v>-888842.49</v>
      </c>
      <c r="M9" s="378">
        <v>0</v>
      </c>
      <c r="N9" s="378">
        <v>0</v>
      </c>
      <c r="O9" s="378">
        <v>0</v>
      </c>
      <c r="P9" s="423">
        <v>-517966.75</v>
      </c>
      <c r="Q9" s="424">
        <v>-184879.6</v>
      </c>
      <c r="R9" s="424">
        <v>-107855.3</v>
      </c>
      <c r="S9" s="424">
        <v>-1138044.99</v>
      </c>
      <c r="T9" s="460">
        <v>-44798.23</v>
      </c>
      <c r="U9" s="461">
        <v>-601004.4</v>
      </c>
      <c r="V9" s="461"/>
      <c r="W9" s="461"/>
      <c r="X9" s="51"/>
      <c r="Y9" s="546"/>
      <c r="Z9" s="546"/>
      <c r="AA9" s="546"/>
      <c r="AB9" s="546"/>
      <c r="AC9" s="546"/>
      <c r="AD9" s="546"/>
    </row>
    <row r="10" spans="1:30" ht="16.5" x14ac:dyDescent="0.25">
      <c r="A10" s="119">
        <v>9</v>
      </c>
      <c r="B10" s="120" t="s">
        <v>17</v>
      </c>
      <c r="C10" s="216">
        <v>-2250840.71</v>
      </c>
      <c r="D10" s="220">
        <v>-765620.55</v>
      </c>
      <c r="E10" s="221">
        <v>-682838.26</v>
      </c>
      <c r="F10" s="221">
        <v>-1454640.98</v>
      </c>
      <c r="G10" s="222">
        <v>-1352868.58</v>
      </c>
      <c r="H10" s="227"/>
      <c r="I10" s="227"/>
      <c r="J10" s="227">
        <v>-39281.43</v>
      </c>
      <c r="K10" s="227">
        <v>-39281.43</v>
      </c>
      <c r="L10" s="348">
        <v>-46938.63</v>
      </c>
      <c r="M10" s="378">
        <v>-26828.560000000001</v>
      </c>
      <c r="N10" s="378">
        <v>-1869307.1</v>
      </c>
      <c r="O10" s="378">
        <v>-1846364</v>
      </c>
      <c r="P10" s="423">
        <v>-172651.86</v>
      </c>
      <c r="Q10" s="424">
        <v>-1217493.2</v>
      </c>
      <c r="R10" s="424">
        <v>-1209734.19</v>
      </c>
      <c r="S10" s="424">
        <v>-1179038</v>
      </c>
      <c r="T10" s="460">
        <v>-438702.36</v>
      </c>
      <c r="U10" s="461">
        <v>-236679.39</v>
      </c>
      <c r="V10" s="461"/>
      <c r="W10" s="461"/>
      <c r="X10" s="51"/>
      <c r="Y10" s="546"/>
      <c r="Z10" s="546"/>
      <c r="AA10" s="546"/>
      <c r="AB10" s="546"/>
      <c r="AC10" s="546"/>
      <c r="AD10" s="546"/>
    </row>
    <row r="11" spans="1:30" ht="16.5" x14ac:dyDescent="0.25">
      <c r="A11" s="119">
        <v>10</v>
      </c>
      <c r="B11" s="120" t="s">
        <v>18</v>
      </c>
      <c r="C11" s="216">
        <v>-2387993.86</v>
      </c>
      <c r="D11" s="220">
        <v>-1013150.3</v>
      </c>
      <c r="E11" s="221">
        <v>-559415.97</v>
      </c>
      <c r="F11" s="221">
        <v>-292765.62</v>
      </c>
      <c r="G11" s="222">
        <v>-282650.37</v>
      </c>
      <c r="H11" s="227"/>
      <c r="I11" s="227"/>
      <c r="J11" s="227">
        <v>-196697.95</v>
      </c>
      <c r="K11" s="227">
        <v>-148810.72999999998</v>
      </c>
      <c r="L11" s="348">
        <v>-148810.72999999998</v>
      </c>
      <c r="M11" s="378">
        <v>-59746.46</v>
      </c>
      <c r="N11" s="378">
        <v>-2582780.88</v>
      </c>
      <c r="O11" s="378">
        <v>-856026.83</v>
      </c>
      <c r="P11" s="423">
        <v>0</v>
      </c>
      <c r="Q11" s="424">
        <v>0</v>
      </c>
      <c r="R11" s="424">
        <v>0</v>
      </c>
      <c r="S11" s="424">
        <v>-67053.36</v>
      </c>
      <c r="T11" s="460">
        <v>0</v>
      </c>
      <c r="U11" s="461">
        <v>0</v>
      </c>
      <c r="V11" s="461"/>
      <c r="W11" s="461"/>
      <c r="X11" s="51"/>
      <c r="Y11" s="546"/>
      <c r="Z11" s="546"/>
      <c r="AA11" s="546"/>
      <c r="AB11" s="546"/>
      <c r="AC11" s="546"/>
      <c r="AD11" s="546"/>
    </row>
    <row r="12" spans="1:30" ht="16.5" x14ac:dyDescent="0.25">
      <c r="A12" s="119">
        <v>11</v>
      </c>
      <c r="B12" s="120" t="s">
        <v>19</v>
      </c>
      <c r="C12" s="216">
        <v>0</v>
      </c>
      <c r="D12" s="220">
        <v>0</v>
      </c>
      <c r="E12" s="221">
        <v>-1284294.96</v>
      </c>
      <c r="F12" s="221">
        <v>-1279367.3600000001</v>
      </c>
      <c r="G12" s="222">
        <v>-1032590.24</v>
      </c>
      <c r="H12" s="227"/>
      <c r="I12" s="227"/>
      <c r="J12" s="227">
        <v>0</v>
      </c>
      <c r="K12" s="227">
        <v>0</v>
      </c>
      <c r="L12" s="348">
        <v>-3222293.45</v>
      </c>
      <c r="M12" s="378">
        <v>-4141801.55</v>
      </c>
      <c r="N12" s="378">
        <v>-3046729.8</v>
      </c>
      <c r="O12" s="378">
        <v>-1623899.78</v>
      </c>
      <c r="P12" s="423">
        <v>-529327.81000000006</v>
      </c>
      <c r="Q12" s="424">
        <v>-492735.1</v>
      </c>
      <c r="R12" s="424">
        <v>-131675.85</v>
      </c>
      <c r="S12" s="424">
        <v>-131675.9</v>
      </c>
      <c r="T12" s="460">
        <v>-131675.85</v>
      </c>
      <c r="U12" s="461">
        <v>-131675.85</v>
      </c>
      <c r="V12" s="461"/>
      <c r="W12" s="461"/>
      <c r="X12" s="51"/>
    </row>
    <row r="13" spans="1:30" ht="16.5" x14ac:dyDescent="0.25">
      <c r="A13" s="119">
        <v>12</v>
      </c>
      <c r="B13" s="120" t="s">
        <v>20</v>
      </c>
      <c r="C13" s="216">
        <v>-38280.42</v>
      </c>
      <c r="D13" s="220">
        <v>-25257.22</v>
      </c>
      <c r="E13" s="221">
        <v>-25257.22</v>
      </c>
      <c r="F13" s="221">
        <v>-2903361.05</v>
      </c>
      <c r="G13" s="222">
        <v>-2903361.05</v>
      </c>
      <c r="H13" s="227"/>
      <c r="I13" s="227"/>
      <c r="J13" s="227">
        <v>-4337974.53</v>
      </c>
      <c r="K13" s="227">
        <v>-1495878.22</v>
      </c>
      <c r="L13" s="348">
        <v>-76640.39</v>
      </c>
      <c r="M13" s="378">
        <v>-18289.989999999998</v>
      </c>
      <c r="N13" s="378">
        <v>-3622707.61</v>
      </c>
      <c r="O13" s="378">
        <v>-3588660.61</v>
      </c>
      <c r="P13" s="423">
        <v>-3518442.16</v>
      </c>
      <c r="Q13" s="424">
        <v>-2362324.2400000002</v>
      </c>
      <c r="R13" s="424">
        <v>-913807.24</v>
      </c>
      <c r="S13" s="424">
        <v>-2240763.39</v>
      </c>
      <c r="T13" s="460">
        <v>-370629.68</v>
      </c>
      <c r="U13" s="461">
        <v>-202215.74</v>
      </c>
      <c r="V13" s="461"/>
      <c r="W13" s="461"/>
      <c r="X13" s="51"/>
    </row>
    <row r="14" spans="1:30" ht="16.5" x14ac:dyDescent="0.25">
      <c r="A14" s="119">
        <v>13</v>
      </c>
      <c r="B14" s="120" t="s">
        <v>21</v>
      </c>
      <c r="C14" s="216">
        <v>-434247.16</v>
      </c>
      <c r="D14" s="220">
        <v>-264164.89</v>
      </c>
      <c r="E14" s="221">
        <v>-187144.31</v>
      </c>
      <c r="F14" s="221">
        <v>-894057.26</v>
      </c>
      <c r="G14" s="222">
        <v>-844886.51</v>
      </c>
      <c r="H14" s="227"/>
      <c r="I14" s="227"/>
      <c r="J14" s="227">
        <v>-5052164.96</v>
      </c>
      <c r="K14" s="227">
        <v>-831784.52</v>
      </c>
      <c r="L14" s="348">
        <v>-40249.629999999997</v>
      </c>
      <c r="M14" s="378">
        <v>-27013.82</v>
      </c>
      <c r="N14" s="378">
        <v>-27013.82</v>
      </c>
      <c r="O14" s="378">
        <v>-27013.82</v>
      </c>
      <c r="P14" s="423">
        <v>-27013.82</v>
      </c>
      <c r="Q14" s="424">
        <v>-27013.82</v>
      </c>
      <c r="R14" s="424">
        <v>-27013.82</v>
      </c>
      <c r="S14" s="424">
        <v>-375253.94</v>
      </c>
      <c r="T14" s="460">
        <v>-32467.97</v>
      </c>
      <c r="U14" s="461">
        <v>-32467.97</v>
      </c>
      <c r="V14" s="461"/>
      <c r="W14" s="461"/>
      <c r="X14" s="51"/>
    </row>
    <row r="15" spans="1:30" ht="16.5" x14ac:dyDescent="0.25">
      <c r="A15" s="119">
        <v>14</v>
      </c>
      <c r="B15" s="120" t="s">
        <v>22</v>
      </c>
      <c r="C15" s="216">
        <v>-25492.65</v>
      </c>
      <c r="D15" s="220">
        <v>-25492.65</v>
      </c>
      <c r="E15" s="221">
        <v>-25492.65</v>
      </c>
      <c r="F15" s="221">
        <v>-2863115.29</v>
      </c>
      <c r="G15" s="222">
        <v>-2838135.69</v>
      </c>
      <c r="H15" s="227"/>
      <c r="I15" s="227"/>
      <c r="J15" s="227">
        <v>10288.35</v>
      </c>
      <c r="K15" s="227">
        <v>0</v>
      </c>
      <c r="L15" s="348">
        <v>0</v>
      </c>
      <c r="M15" s="378">
        <v>0</v>
      </c>
      <c r="N15" s="378">
        <v>0</v>
      </c>
      <c r="O15" s="378">
        <v>0</v>
      </c>
      <c r="P15" s="423">
        <v>0</v>
      </c>
      <c r="Q15" s="424">
        <v>0</v>
      </c>
      <c r="R15" s="424">
        <v>0</v>
      </c>
      <c r="S15" s="424">
        <v>0</v>
      </c>
      <c r="T15" s="460">
        <v>0</v>
      </c>
      <c r="U15" s="461">
        <v>0</v>
      </c>
      <c r="V15" s="461"/>
      <c r="W15" s="461"/>
      <c r="X15" s="51"/>
    </row>
    <row r="16" spans="1:30" ht="16.5" x14ac:dyDescent="0.25">
      <c r="A16" s="119">
        <v>15</v>
      </c>
      <c r="B16" s="120" t="s">
        <v>23</v>
      </c>
      <c r="C16" s="216">
        <v>0</v>
      </c>
      <c r="D16" s="220">
        <v>0</v>
      </c>
      <c r="E16" s="221">
        <v>-647329</v>
      </c>
      <c r="F16" s="221">
        <v>-666659</v>
      </c>
      <c r="G16" s="222">
        <v>-1058577.33</v>
      </c>
      <c r="H16" s="227"/>
      <c r="I16" s="227"/>
      <c r="J16" s="227">
        <v>56369.62</v>
      </c>
      <c r="K16" s="227">
        <v>-482771.68</v>
      </c>
      <c r="L16" s="348">
        <v>-492088.95</v>
      </c>
      <c r="M16" s="378">
        <v>-40781.15</v>
      </c>
      <c r="N16" s="378">
        <v>-1902629.35</v>
      </c>
      <c r="O16" s="378">
        <v>-1887657.19</v>
      </c>
      <c r="P16" s="423">
        <v>-1734024.76</v>
      </c>
      <c r="Q16" s="424">
        <v>-320965.42</v>
      </c>
      <c r="R16" s="424">
        <v>-241468.25</v>
      </c>
      <c r="S16" s="424">
        <v>-68428.009999999995</v>
      </c>
      <c r="T16" s="460">
        <v>-65574.16</v>
      </c>
      <c r="U16" s="461">
        <v>-65574.16</v>
      </c>
      <c r="V16" s="461"/>
      <c r="W16" s="461"/>
      <c r="X16" s="51"/>
    </row>
    <row r="17" spans="1:24" ht="16.5" x14ac:dyDescent="0.25">
      <c r="A17" s="119">
        <v>16</v>
      </c>
      <c r="B17" s="120" t="s">
        <v>24</v>
      </c>
      <c r="C17" s="216">
        <v>-454976.23</v>
      </c>
      <c r="D17" s="220">
        <v>-900339.21</v>
      </c>
      <c r="E17" s="221">
        <v>-836842.31</v>
      </c>
      <c r="F17" s="221">
        <v>-554167.44999999995</v>
      </c>
      <c r="G17" s="222">
        <v>-2086931.07</v>
      </c>
      <c r="H17" s="227"/>
      <c r="I17" s="227"/>
      <c r="J17" s="227">
        <v>-3996762.38</v>
      </c>
      <c r="K17" s="227">
        <v>-2882939.53</v>
      </c>
      <c r="L17" s="348">
        <v>-72371.7</v>
      </c>
      <c r="M17" s="378">
        <v>-915489.08</v>
      </c>
      <c r="N17" s="378">
        <v>-882111.3</v>
      </c>
      <c r="O17" s="378">
        <v>-122382.9</v>
      </c>
      <c r="P17" s="423">
        <v>-28701.94</v>
      </c>
      <c r="Q17" s="424">
        <v>0</v>
      </c>
      <c r="R17" s="424">
        <v>0</v>
      </c>
      <c r="S17" s="424">
        <v>-2786736.22</v>
      </c>
      <c r="T17" s="460">
        <v>-845612.47</v>
      </c>
      <c r="U17" s="461">
        <v>-234069.09</v>
      </c>
      <c r="V17" s="461"/>
      <c r="W17" s="461"/>
      <c r="X17" s="51"/>
    </row>
    <row r="18" spans="1:24" ht="16.5" x14ac:dyDescent="0.25">
      <c r="A18" s="119">
        <v>17</v>
      </c>
      <c r="B18" s="120" t="s">
        <v>25</v>
      </c>
      <c r="C18" s="216">
        <v>-2630464.33</v>
      </c>
      <c r="D18" s="220">
        <v>-615621.07999999996</v>
      </c>
      <c r="E18" s="221">
        <v>-324434.59000000003</v>
      </c>
      <c r="F18" s="221">
        <v>0</v>
      </c>
      <c r="G18" s="222">
        <v>-1337301.94</v>
      </c>
      <c r="H18" s="227"/>
      <c r="I18" s="227"/>
      <c r="J18" s="227">
        <v>-1449916.5199999998</v>
      </c>
      <c r="K18" s="227">
        <v>-436350.36</v>
      </c>
      <c r="L18" s="348">
        <v>-256891.24</v>
      </c>
      <c r="M18" s="378">
        <v>-79402.01999999999</v>
      </c>
      <c r="N18" s="378">
        <v>-1483772.58</v>
      </c>
      <c r="O18" s="378">
        <v>-943113.75</v>
      </c>
      <c r="P18" s="423">
        <v>-62799.3</v>
      </c>
      <c r="Q18" s="424">
        <v>0</v>
      </c>
      <c r="R18" s="424">
        <v>0</v>
      </c>
      <c r="S18" s="424">
        <v>-2175946.9300000002</v>
      </c>
      <c r="T18" s="460">
        <v>-44722.57</v>
      </c>
      <c r="U18" s="461">
        <v>-41829.57</v>
      </c>
      <c r="V18" s="461"/>
      <c r="W18" s="461"/>
      <c r="X18" s="51"/>
    </row>
    <row r="19" spans="1:24" ht="16.5" x14ac:dyDescent="0.25">
      <c r="A19" s="119">
        <v>18</v>
      </c>
      <c r="B19" s="120" t="s">
        <v>26</v>
      </c>
      <c r="C19" s="216">
        <v>-1044117.11</v>
      </c>
      <c r="D19" s="220">
        <v>-821365.74</v>
      </c>
      <c r="E19" s="221">
        <v>-152673.72</v>
      </c>
      <c r="F19" s="221">
        <v>-110251.43</v>
      </c>
      <c r="G19" s="222">
        <v>-2765825.96</v>
      </c>
      <c r="H19" s="227"/>
      <c r="I19" s="227"/>
      <c r="J19" s="227">
        <v>-43049.479999999996</v>
      </c>
      <c r="K19" s="227">
        <v>-3907960.3</v>
      </c>
      <c r="L19" s="348">
        <v>-1029692.77</v>
      </c>
      <c r="M19" s="378">
        <v>-471459.04</v>
      </c>
      <c r="N19" s="378">
        <v>-1037227.73</v>
      </c>
      <c r="O19" s="378">
        <v>-640788.97</v>
      </c>
      <c r="P19" s="423">
        <v>-413771.02</v>
      </c>
      <c r="Q19" s="424">
        <v>-93568.109999999986</v>
      </c>
      <c r="R19" s="424">
        <v>-88368.91</v>
      </c>
      <c r="S19" s="424">
        <v>-2251209.7799999998</v>
      </c>
      <c r="T19" s="460">
        <v>-1805952.79</v>
      </c>
      <c r="U19" s="461">
        <v>-136126.95000000001</v>
      </c>
      <c r="V19" s="461"/>
      <c r="W19" s="461"/>
      <c r="X19" s="51"/>
    </row>
    <row r="20" spans="1:24" ht="16.5" x14ac:dyDescent="0.25">
      <c r="A20" s="119">
        <v>19</v>
      </c>
      <c r="B20" s="120" t="s">
        <v>27</v>
      </c>
      <c r="C20" s="216">
        <v>-929532.61</v>
      </c>
      <c r="D20" s="220">
        <v>-542559.19999999995</v>
      </c>
      <c r="E20" s="221">
        <v>-22077.53</v>
      </c>
      <c r="F20" s="221">
        <v>-2157744.5</v>
      </c>
      <c r="G20" s="222">
        <v>-1766041.5</v>
      </c>
      <c r="H20" s="227"/>
      <c r="I20" s="227"/>
      <c r="J20" s="227">
        <v>-1772470.3499999999</v>
      </c>
      <c r="K20" s="227">
        <v>-965165.8899999999</v>
      </c>
      <c r="L20" s="348">
        <v>-150276.82999999999</v>
      </c>
      <c r="M20" s="378">
        <v>-7150.2</v>
      </c>
      <c r="N20" s="378">
        <v>-3505.3</v>
      </c>
      <c r="O20" s="378">
        <v>-6284.85</v>
      </c>
      <c r="P20" s="423">
        <v>-31173.25</v>
      </c>
      <c r="Q20" s="424">
        <v>-64010.15</v>
      </c>
      <c r="R20" s="424">
        <v>-57098.15</v>
      </c>
      <c r="S20" s="424">
        <v>-1545717.84</v>
      </c>
      <c r="T20" s="460">
        <v>-382087.47</v>
      </c>
      <c r="U20" s="461">
        <v>-190540.15</v>
      </c>
      <c r="V20" s="461"/>
      <c r="W20" s="461"/>
      <c r="X20" s="51"/>
    </row>
    <row r="21" spans="1:24" ht="16.5" x14ac:dyDescent="0.25">
      <c r="A21" s="119">
        <v>20</v>
      </c>
      <c r="B21" s="120" t="s">
        <v>28</v>
      </c>
      <c r="C21" s="216">
        <v>-1021154.14</v>
      </c>
      <c r="D21" s="220">
        <v>-579998.56000000006</v>
      </c>
      <c r="E21" s="221">
        <v>-75373.759999999995</v>
      </c>
      <c r="F21" s="221">
        <v>-990516.66</v>
      </c>
      <c r="G21" s="222">
        <v>-139527.95000000001</v>
      </c>
      <c r="H21" s="227"/>
      <c r="I21" s="227"/>
      <c r="J21" s="227">
        <v>-154740.85999999999</v>
      </c>
      <c r="K21" s="227">
        <v>-140000.01</v>
      </c>
      <c r="L21" s="348">
        <v>-226939.55999999997</v>
      </c>
      <c r="M21" s="378">
        <v>-54458.57</v>
      </c>
      <c r="N21" s="378">
        <v>-52231.97</v>
      </c>
      <c r="O21" s="378">
        <v>-98864.52</v>
      </c>
      <c r="P21" s="423">
        <v>-107302.92</v>
      </c>
      <c r="Q21" s="424">
        <v>-100734.32</v>
      </c>
      <c r="R21" s="424">
        <v>-37958.300000000003</v>
      </c>
      <c r="S21" s="424">
        <v>-628080.41</v>
      </c>
      <c r="T21" s="460">
        <v>-942925.66</v>
      </c>
      <c r="U21" s="461">
        <v>-444901.25</v>
      </c>
      <c r="V21" s="461"/>
      <c r="W21" s="461"/>
      <c r="X21" s="51"/>
    </row>
    <row r="22" spans="1:24" ht="16.5" x14ac:dyDescent="0.25">
      <c r="A22" s="119">
        <v>21</v>
      </c>
      <c r="B22" s="120" t="s">
        <v>29</v>
      </c>
      <c r="C22" s="216">
        <v>-1062535.18</v>
      </c>
      <c r="D22" s="220">
        <v>-603630.89</v>
      </c>
      <c r="E22" s="221">
        <v>-2730107.09</v>
      </c>
      <c r="F22" s="221">
        <v>-1764703.13</v>
      </c>
      <c r="G22" s="222">
        <v>-986958.48</v>
      </c>
      <c r="H22" s="227"/>
      <c r="I22" s="227"/>
      <c r="J22" s="227">
        <v>-2987294.8399999994</v>
      </c>
      <c r="K22" s="227">
        <v>-2375115.0699999994</v>
      </c>
      <c r="L22" s="348">
        <v>-839455.26</v>
      </c>
      <c r="M22" s="378">
        <v>-5316388.4899999993</v>
      </c>
      <c r="N22" s="378">
        <v>-4927326.6900000004</v>
      </c>
      <c r="O22" s="378">
        <v>-4753510.72</v>
      </c>
      <c r="P22" s="423">
        <v>-1388006.89</v>
      </c>
      <c r="Q22" s="424">
        <v>-223414.02</v>
      </c>
      <c r="R22" s="424">
        <v>-44784.07</v>
      </c>
      <c r="S22" s="424">
        <v>-69653.38</v>
      </c>
      <c r="T22" s="460">
        <v>-3236772.84</v>
      </c>
      <c r="U22" s="461">
        <v>-3002125.96</v>
      </c>
      <c r="V22" s="461"/>
      <c r="W22" s="461"/>
      <c r="X22" s="51"/>
    </row>
    <row r="23" spans="1:24" ht="16.5" x14ac:dyDescent="0.25">
      <c r="A23" s="119">
        <v>22</v>
      </c>
      <c r="B23" s="120" t="s">
        <v>30</v>
      </c>
      <c r="C23" s="216">
        <v>-44640</v>
      </c>
      <c r="D23" s="220">
        <v>-44640</v>
      </c>
      <c r="E23" s="221">
        <v>-32839.4</v>
      </c>
      <c r="F23" s="221">
        <v>-1864423.26</v>
      </c>
      <c r="G23" s="222">
        <v>-1906973.26</v>
      </c>
      <c r="H23" s="227"/>
      <c r="I23" s="227"/>
      <c r="J23" s="228">
        <v>-99024.12999999999</v>
      </c>
      <c r="K23" s="228">
        <v>-99024.12999999999</v>
      </c>
      <c r="L23" s="349">
        <v>-99024.12999999999</v>
      </c>
      <c r="M23" s="379">
        <v>-99024.12999999999</v>
      </c>
      <c r="N23" s="378">
        <v>0</v>
      </c>
      <c r="O23" s="378">
        <v>0</v>
      </c>
      <c r="P23" s="450">
        <v>-579901.84</v>
      </c>
      <c r="Q23" s="424">
        <v>-90055.75</v>
      </c>
      <c r="R23" s="424">
        <v>0</v>
      </c>
      <c r="S23" s="424">
        <v>-816474.8</v>
      </c>
      <c r="T23" s="462">
        <v>-676650.05</v>
      </c>
      <c r="U23" s="461">
        <v>-382141.25</v>
      </c>
      <c r="V23" s="461"/>
      <c r="W23" s="461"/>
      <c r="X23" s="51"/>
    </row>
    <row r="24" spans="1:24" ht="16.5" x14ac:dyDescent="0.25">
      <c r="A24" s="119">
        <v>23</v>
      </c>
      <c r="B24" s="120" t="s">
        <v>31</v>
      </c>
      <c r="C24" s="216">
        <v>-1323144.74</v>
      </c>
      <c r="D24" s="220">
        <v>-1045036.16</v>
      </c>
      <c r="E24" s="221">
        <v>-891293.19</v>
      </c>
      <c r="F24" s="221">
        <v>-865461.35</v>
      </c>
      <c r="G24" s="222">
        <v>-2987976.97</v>
      </c>
      <c r="H24" s="227"/>
      <c r="I24" s="227"/>
      <c r="J24" s="227">
        <v>-1303508.1099999999</v>
      </c>
      <c r="K24" s="227">
        <v>-2576775.9</v>
      </c>
      <c r="L24" s="348">
        <v>-2558918.5099999998</v>
      </c>
      <c r="M24" s="378">
        <v>-444443.43999999994</v>
      </c>
      <c r="N24" s="378">
        <v>-1922992.55</v>
      </c>
      <c r="O24" s="378">
        <v>-1749786.9</v>
      </c>
      <c r="P24" s="423">
        <v>-1477798.26</v>
      </c>
      <c r="Q24" s="424">
        <v>-365931.82</v>
      </c>
      <c r="R24" s="424">
        <v>-348581.51</v>
      </c>
      <c r="S24" s="424">
        <v>-2816663.63</v>
      </c>
      <c r="T24" s="460">
        <v>-1668335.55</v>
      </c>
      <c r="U24" s="461">
        <v>-2732266.08</v>
      </c>
      <c r="V24" s="461"/>
      <c r="W24" s="461"/>
      <c r="X24" s="51"/>
    </row>
    <row r="25" spans="1:24" ht="16.5" x14ac:dyDescent="0.25">
      <c r="A25" s="119">
        <v>24</v>
      </c>
      <c r="B25" s="120" t="s">
        <v>32</v>
      </c>
      <c r="C25" s="216">
        <v>-149263.46</v>
      </c>
      <c r="D25" s="220">
        <v>-35108.42</v>
      </c>
      <c r="E25" s="221">
        <v>-23191.42</v>
      </c>
      <c r="F25" s="221">
        <v>-9348757.4600000009</v>
      </c>
      <c r="G25" s="222">
        <v>-8435730.2699999996</v>
      </c>
      <c r="H25" s="227"/>
      <c r="I25" s="227"/>
      <c r="J25" s="227">
        <v>-346807.48</v>
      </c>
      <c r="K25" s="227">
        <v>-363860.78999999992</v>
      </c>
      <c r="L25" s="348">
        <v>-363860.79</v>
      </c>
      <c r="M25" s="378">
        <v>-91910.849999999991</v>
      </c>
      <c r="N25" s="378">
        <v>-3448186.48</v>
      </c>
      <c r="O25" s="378">
        <v>-721965.01</v>
      </c>
      <c r="P25" s="423">
        <v>-614041.56999999995</v>
      </c>
      <c r="Q25" s="424">
        <v>-76994.759999999995</v>
      </c>
      <c r="R25" s="424">
        <v>-49550</v>
      </c>
      <c r="S25" s="424">
        <v>-915142.06</v>
      </c>
      <c r="T25" s="460">
        <v>-365640.66</v>
      </c>
      <c r="U25" s="461">
        <v>-73256.149999999994</v>
      </c>
      <c r="V25" s="461"/>
      <c r="W25" s="461"/>
      <c r="X25" s="51"/>
    </row>
    <row r="26" spans="1:24" ht="16.5" x14ac:dyDescent="0.25">
      <c r="A26" s="119">
        <v>25</v>
      </c>
      <c r="B26" s="120" t="s">
        <v>33</v>
      </c>
      <c r="C26" s="216">
        <v>-30000.05</v>
      </c>
      <c r="D26" s="220">
        <v>-811687.07</v>
      </c>
      <c r="E26" s="221">
        <v>-49785.87</v>
      </c>
      <c r="F26" s="221">
        <v>-49785.87</v>
      </c>
      <c r="G26" s="222">
        <v>-2207587.4500000002</v>
      </c>
      <c r="H26" s="227"/>
      <c r="I26" s="227"/>
      <c r="J26" s="227">
        <v>-288549.61</v>
      </c>
      <c r="K26" s="227">
        <v>-258549.61</v>
      </c>
      <c r="L26" s="348">
        <v>-258549.61</v>
      </c>
      <c r="M26" s="378">
        <v>-258549.61</v>
      </c>
      <c r="N26" s="378">
        <v>-5479936.0300000003</v>
      </c>
      <c r="O26" s="378">
        <v>-3818576.36</v>
      </c>
      <c r="P26" s="423">
        <v>-570622.92000000004</v>
      </c>
      <c r="Q26" s="424">
        <v>-302320.34999999998</v>
      </c>
      <c r="R26" s="424">
        <v>-296204.67</v>
      </c>
      <c r="S26" s="424">
        <v>-5006754.88</v>
      </c>
      <c r="T26" s="460">
        <v>-3721400.62</v>
      </c>
      <c r="U26" s="461">
        <v>-989068.09</v>
      </c>
      <c r="V26" s="461"/>
      <c r="W26" s="461"/>
      <c r="X26" s="51"/>
    </row>
    <row r="27" spans="1:24" ht="16.5" x14ac:dyDescent="0.25">
      <c r="A27" s="119">
        <v>26</v>
      </c>
      <c r="B27" s="120" t="s">
        <v>34</v>
      </c>
      <c r="C27" s="216">
        <v>-918368.8</v>
      </c>
      <c r="D27" s="220">
        <v>-1440823.75</v>
      </c>
      <c r="E27" s="221">
        <v>-436471.87</v>
      </c>
      <c r="F27" s="221">
        <v>-815298.41</v>
      </c>
      <c r="G27" s="222">
        <v>-628002.98</v>
      </c>
      <c r="H27" s="227"/>
      <c r="I27" s="227"/>
      <c r="J27" s="227">
        <v>-1078709.71</v>
      </c>
      <c r="K27" s="227">
        <v>-969619.24</v>
      </c>
      <c r="L27" s="348">
        <v>-2730798.1899999995</v>
      </c>
      <c r="M27" s="378">
        <v>-2112350</v>
      </c>
      <c r="N27" s="378">
        <v>-2091956.75</v>
      </c>
      <c r="O27" s="378">
        <v>-70819.199999999997</v>
      </c>
      <c r="P27" s="423">
        <v>-328242.13</v>
      </c>
      <c r="Q27" s="424">
        <v>-328242.13</v>
      </c>
      <c r="R27" s="424">
        <v>-77262.880000000005</v>
      </c>
      <c r="S27" s="424">
        <v>-170784.08</v>
      </c>
      <c r="T27" s="460">
        <v>-328224.90000000002</v>
      </c>
      <c r="U27" s="461">
        <v>-1993231</v>
      </c>
      <c r="V27" s="461"/>
      <c r="W27" s="461"/>
      <c r="X27" s="51"/>
    </row>
    <row r="28" spans="1:24" ht="16.5" x14ac:dyDescent="0.25">
      <c r="A28" s="119">
        <v>27</v>
      </c>
      <c r="B28" s="120" t="s">
        <v>117</v>
      </c>
      <c r="C28" s="216">
        <v>-1763830.27</v>
      </c>
      <c r="D28" s="220">
        <v>-853350.03</v>
      </c>
      <c r="E28" s="221">
        <v>-195912.52</v>
      </c>
      <c r="F28" s="221">
        <v>-468501.59</v>
      </c>
      <c r="G28" s="222">
        <v>-78100.25</v>
      </c>
      <c r="H28" s="227"/>
      <c r="I28" s="227"/>
      <c r="J28" s="227">
        <v>-745238.67999999993</v>
      </c>
      <c r="K28" s="227">
        <v>-333980.09999999998</v>
      </c>
      <c r="L28" s="348">
        <v>-186466.13</v>
      </c>
      <c r="M28" s="378">
        <v>-1638949.0999999999</v>
      </c>
      <c r="N28" s="378">
        <v>-3792287.79</v>
      </c>
      <c r="O28" s="378">
        <v>-1452573.68</v>
      </c>
      <c r="P28" s="423">
        <v>-462413.66</v>
      </c>
      <c r="Q28" s="424">
        <v>-266920.70999999996</v>
      </c>
      <c r="R28" s="424">
        <v>-157317.41</v>
      </c>
      <c r="S28" s="424">
        <v>-150112.81</v>
      </c>
      <c r="T28" s="460">
        <v>-102139.5</v>
      </c>
      <c r="U28" s="461">
        <v>-72008.3</v>
      </c>
      <c r="V28" s="461"/>
      <c r="W28" s="461"/>
      <c r="X28" s="51"/>
    </row>
    <row r="29" spans="1:24" ht="16.5" x14ac:dyDescent="0.25">
      <c r="A29" s="119">
        <v>28</v>
      </c>
      <c r="B29" s="120" t="s">
        <v>35</v>
      </c>
      <c r="C29" s="216">
        <v>-1255647.58</v>
      </c>
      <c r="D29" s="220">
        <v>-474428.31</v>
      </c>
      <c r="E29" s="221">
        <v>-1058142.48</v>
      </c>
      <c r="F29" s="221">
        <v>-1035997.84</v>
      </c>
      <c r="G29" s="222">
        <v>-3065857.19</v>
      </c>
      <c r="H29" s="227"/>
      <c r="I29" s="227"/>
      <c r="J29" s="227">
        <v>-598208.59</v>
      </c>
      <c r="K29" s="227">
        <v>-592242.79</v>
      </c>
      <c r="L29" s="348">
        <v>-592242.79</v>
      </c>
      <c r="M29" s="378">
        <v>-3114694.4699999997</v>
      </c>
      <c r="N29" s="378">
        <v>-2838472.37</v>
      </c>
      <c r="O29" s="378">
        <v>-491027.15</v>
      </c>
      <c r="P29" s="423">
        <v>-72111.19</v>
      </c>
      <c r="Q29" s="424">
        <v>-71808.939999999988</v>
      </c>
      <c r="R29" s="424">
        <v>0</v>
      </c>
      <c r="S29" s="424">
        <v>0</v>
      </c>
      <c r="T29" s="460">
        <v>-4532280.5</v>
      </c>
      <c r="U29" s="461">
        <v>-4532280.5</v>
      </c>
      <c r="V29" s="461"/>
      <c r="W29" s="461"/>
      <c r="X29" s="51"/>
    </row>
    <row r="30" spans="1:24" ht="16.5" x14ac:dyDescent="0.25">
      <c r="A30" s="119">
        <v>29</v>
      </c>
      <c r="B30" s="120" t="s">
        <v>36</v>
      </c>
      <c r="C30" s="216">
        <v>-864696.76</v>
      </c>
      <c r="D30" s="220">
        <v>-95630.7</v>
      </c>
      <c r="E30" s="221">
        <v>-70501.13</v>
      </c>
      <c r="F30" s="221">
        <v>-67804.33</v>
      </c>
      <c r="G30" s="222">
        <v>-48333.73</v>
      </c>
      <c r="H30" s="227"/>
      <c r="I30" s="227"/>
      <c r="J30" s="227">
        <v>-18936.11</v>
      </c>
      <c r="K30" s="227">
        <v>-1425129.69</v>
      </c>
      <c r="L30" s="348">
        <v>-1480406.2899999998</v>
      </c>
      <c r="M30" s="378">
        <v>-955416.23</v>
      </c>
      <c r="N30" s="378">
        <v>-1675064.73</v>
      </c>
      <c r="O30" s="378">
        <v>-1498465</v>
      </c>
      <c r="P30" s="423">
        <v>-366795.77</v>
      </c>
      <c r="Q30" s="424">
        <v>-122353.68999999999</v>
      </c>
      <c r="R30" s="424">
        <v>-133599.56</v>
      </c>
      <c r="S30" s="424">
        <v>-151010.82999999999</v>
      </c>
      <c r="T30" s="460">
        <v>-84471.360000000001</v>
      </c>
      <c r="U30" s="461">
        <v>-33185.11</v>
      </c>
      <c r="V30" s="461"/>
      <c r="W30" s="461"/>
      <c r="X30" s="51"/>
    </row>
    <row r="31" spans="1:24" ht="16.5" x14ac:dyDescent="0.25">
      <c r="A31" s="119">
        <v>30</v>
      </c>
      <c r="B31" s="120" t="s">
        <v>37</v>
      </c>
      <c r="C31" s="216">
        <v>-164743.28</v>
      </c>
      <c r="D31" s="220">
        <v>-164743.28</v>
      </c>
      <c r="E31" s="221">
        <v>-33208.58</v>
      </c>
      <c r="F31" s="221">
        <v>0</v>
      </c>
      <c r="G31" s="222">
        <v>0</v>
      </c>
      <c r="H31" s="227"/>
      <c r="I31" s="227"/>
      <c r="J31" s="227">
        <v>-1194409.21</v>
      </c>
      <c r="K31" s="227">
        <v>-670674.78999999992</v>
      </c>
      <c r="L31" s="348">
        <v>-293521.05</v>
      </c>
      <c r="M31" s="378">
        <v>-122609.93999999999</v>
      </c>
      <c r="N31" s="378">
        <v>-122609.94</v>
      </c>
      <c r="O31" s="378">
        <v>-122609.94</v>
      </c>
      <c r="P31" s="423">
        <v>-122609.94</v>
      </c>
      <c r="Q31" s="424">
        <v>-59892.479999999996</v>
      </c>
      <c r="R31" s="424">
        <v>-22039.47</v>
      </c>
      <c r="S31" s="424">
        <v>-2033046.4</v>
      </c>
      <c r="T31" s="460">
        <v>-193804.37</v>
      </c>
      <c r="U31" s="461">
        <v>-152247.26999999999</v>
      </c>
      <c r="V31" s="461"/>
      <c r="W31" s="461"/>
      <c r="X31" s="51"/>
    </row>
    <row r="32" spans="1:24" ht="16.5" x14ac:dyDescent="0.25">
      <c r="A32" s="119">
        <v>31</v>
      </c>
      <c r="B32" s="120" t="s">
        <v>38</v>
      </c>
      <c r="C32" s="216">
        <v>-5848542.0599999996</v>
      </c>
      <c r="D32" s="220">
        <v>-1137280.08</v>
      </c>
      <c r="E32" s="221">
        <v>-1619096.22</v>
      </c>
      <c r="F32" s="221">
        <v>-2241090.91</v>
      </c>
      <c r="G32" s="222">
        <v>-985352.02</v>
      </c>
      <c r="H32" s="227"/>
      <c r="I32" s="227"/>
      <c r="J32" s="227">
        <v>-1886729.2599999998</v>
      </c>
      <c r="K32" s="227">
        <v>-7599779.4100000001</v>
      </c>
      <c r="L32" s="348">
        <v>-5588236.9199999999</v>
      </c>
      <c r="M32" s="378">
        <v>-3904344.85</v>
      </c>
      <c r="N32" s="378">
        <v>-3173293.52</v>
      </c>
      <c r="O32" s="378">
        <v>-2242909.41</v>
      </c>
      <c r="P32" s="423">
        <v>-1335318.8500000001</v>
      </c>
      <c r="Q32" s="424">
        <v>-506843.95</v>
      </c>
      <c r="R32" s="424">
        <v>-332703.07</v>
      </c>
      <c r="S32" s="424">
        <v>-2154704.5699999998</v>
      </c>
      <c r="T32" s="460">
        <v>-4503676.4000000004</v>
      </c>
      <c r="U32" s="461">
        <v>-3282404.48</v>
      </c>
      <c r="V32" s="461"/>
      <c r="W32" s="461"/>
      <c r="X32" s="51"/>
    </row>
    <row r="33" spans="1:24" ht="16.5" x14ac:dyDescent="0.25">
      <c r="A33" s="119">
        <v>32</v>
      </c>
      <c r="B33" s="120" t="s">
        <v>39</v>
      </c>
      <c r="C33" s="216">
        <v>-1968886.83</v>
      </c>
      <c r="D33" s="220">
        <v>-131245.23000000001</v>
      </c>
      <c r="E33" s="221">
        <v>-163566.63</v>
      </c>
      <c r="F33" s="221">
        <v>-2938847.13</v>
      </c>
      <c r="G33" s="222">
        <v>-361153.06</v>
      </c>
      <c r="H33" s="227"/>
      <c r="I33" s="227"/>
      <c r="J33" s="227">
        <v>-19869.22</v>
      </c>
      <c r="K33" s="227">
        <v>-19869.22</v>
      </c>
      <c r="L33" s="348">
        <v>-19869.22</v>
      </c>
      <c r="M33" s="378">
        <v>-19869.22</v>
      </c>
      <c r="N33" s="378">
        <v>-1269651.69</v>
      </c>
      <c r="O33" s="378">
        <v>-1267469.19</v>
      </c>
      <c r="P33" s="423">
        <v>-71042.52</v>
      </c>
      <c r="Q33" s="424">
        <v>-71042.51999999999</v>
      </c>
      <c r="R33" s="424">
        <v>-71042.52</v>
      </c>
      <c r="S33" s="424">
        <v>-71042.52</v>
      </c>
      <c r="T33" s="460">
        <v>-71042.52</v>
      </c>
      <c r="U33" s="461">
        <v>-71042.52</v>
      </c>
      <c r="V33" s="461"/>
      <c r="W33" s="461"/>
      <c r="X33" s="51"/>
    </row>
    <row r="34" spans="1:24" ht="16.5" x14ac:dyDescent="0.25">
      <c r="A34" s="119">
        <v>33</v>
      </c>
      <c r="B34" s="120" t="s">
        <v>40</v>
      </c>
      <c r="C34" s="216">
        <v>-5717018.9100000001</v>
      </c>
      <c r="D34" s="220">
        <v>-2917563.97</v>
      </c>
      <c r="E34" s="221">
        <v>-2715359.78</v>
      </c>
      <c r="F34" s="221">
        <v>-555670.99</v>
      </c>
      <c r="G34" s="222">
        <v>-555670.99</v>
      </c>
      <c r="H34" s="227"/>
      <c r="I34" s="227"/>
      <c r="J34" s="227">
        <v>-11040622.27</v>
      </c>
      <c r="K34" s="227">
        <v>-11005894.66</v>
      </c>
      <c r="L34" s="348">
        <v>-5216786.7799999993</v>
      </c>
      <c r="M34" s="378">
        <v>-56318.75</v>
      </c>
      <c r="N34" s="378">
        <v>-888581.28</v>
      </c>
      <c r="O34" s="378">
        <v>-405328.57</v>
      </c>
      <c r="P34" s="423">
        <v>-405328.57</v>
      </c>
      <c r="Q34" s="424">
        <v>-474463.87</v>
      </c>
      <c r="R34" s="424">
        <v>0</v>
      </c>
      <c r="S34" s="424">
        <v>-1070548.6200000001</v>
      </c>
      <c r="T34" s="460">
        <v>-1880494.78</v>
      </c>
      <c r="U34" s="461">
        <v>-1437039.56</v>
      </c>
      <c r="V34" s="461"/>
      <c r="W34" s="461"/>
      <c r="X34" s="51"/>
    </row>
    <row r="35" spans="1:24" ht="16.5" x14ac:dyDescent="0.25">
      <c r="A35" s="119">
        <v>34</v>
      </c>
      <c r="B35" s="120" t="s">
        <v>41</v>
      </c>
      <c r="C35" s="216">
        <v>-661859.77</v>
      </c>
      <c r="D35" s="220">
        <v>-78825.679999999993</v>
      </c>
      <c r="E35" s="221">
        <v>-73209.740000000005</v>
      </c>
      <c r="F35" s="221">
        <v>-1215491.52</v>
      </c>
      <c r="G35" s="222">
        <v>-1215491.52</v>
      </c>
      <c r="H35" s="227"/>
      <c r="I35" s="227"/>
      <c r="J35" s="227">
        <v>-510123.32</v>
      </c>
      <c r="K35" s="227">
        <v>-234215.97</v>
      </c>
      <c r="L35" s="348">
        <v>-204578.55999999997</v>
      </c>
      <c r="M35" s="378">
        <v>-1404151.6799999997</v>
      </c>
      <c r="N35" s="378">
        <v>-1465215.02</v>
      </c>
      <c r="O35" s="378">
        <v>-446699.25</v>
      </c>
      <c r="P35" s="423">
        <v>-1921.4</v>
      </c>
      <c r="Q35" s="424">
        <v>-1921.4</v>
      </c>
      <c r="R35" s="424">
        <v>-1921.4</v>
      </c>
      <c r="S35" s="424">
        <v>0</v>
      </c>
      <c r="T35" s="460">
        <v>0</v>
      </c>
      <c r="U35" s="461">
        <v>0</v>
      </c>
      <c r="V35" s="461"/>
      <c r="W35" s="461"/>
      <c r="X35" s="51"/>
    </row>
    <row r="36" spans="1:24" ht="16.5" x14ac:dyDescent="0.25">
      <c r="A36" s="119">
        <v>35</v>
      </c>
      <c r="B36" s="120" t="s">
        <v>42</v>
      </c>
      <c r="C36" s="216">
        <v>-1778932.08</v>
      </c>
      <c r="D36" s="220">
        <v>-148191.45000000001</v>
      </c>
      <c r="E36" s="221">
        <v>-752918.13</v>
      </c>
      <c r="F36" s="221">
        <v>-2674864.3199999998</v>
      </c>
      <c r="G36" s="222">
        <v>-819803.4</v>
      </c>
      <c r="H36" s="227"/>
      <c r="I36" s="227"/>
      <c r="J36" s="227">
        <v>-27926.690000000002</v>
      </c>
      <c r="K36" s="227">
        <v>-1131235.5499999998</v>
      </c>
      <c r="L36" s="348">
        <v>-1120759.5499999998</v>
      </c>
      <c r="M36" s="378">
        <v>-1917360.3499999999</v>
      </c>
      <c r="N36" s="378">
        <v>-3758113.24</v>
      </c>
      <c r="O36" s="378">
        <v>-2290911.39</v>
      </c>
      <c r="P36" s="423">
        <v>-302624.53999999998</v>
      </c>
      <c r="Q36" s="424">
        <v>-150695.93999999997</v>
      </c>
      <c r="R36" s="424">
        <v>0</v>
      </c>
      <c r="S36" s="424">
        <v>-22152.880000000001</v>
      </c>
      <c r="T36" s="460">
        <v>0</v>
      </c>
      <c r="U36" s="461">
        <v>0</v>
      </c>
      <c r="V36" s="461"/>
      <c r="W36" s="461"/>
      <c r="X36" s="51"/>
    </row>
    <row r="37" spans="1:24" ht="16.5" x14ac:dyDescent="0.25">
      <c r="A37" s="119">
        <v>36</v>
      </c>
      <c r="B37" s="120" t="s">
        <v>43</v>
      </c>
      <c r="C37" s="216">
        <v>-2372422.36</v>
      </c>
      <c r="D37" s="220">
        <v>-1989762.1</v>
      </c>
      <c r="E37" s="221">
        <v>-2137661.0699999998</v>
      </c>
      <c r="F37" s="221">
        <v>-6709360.1600000001</v>
      </c>
      <c r="G37" s="222">
        <v>-4671595.71</v>
      </c>
      <c r="H37" s="227"/>
      <c r="I37" s="227"/>
      <c r="J37" s="227">
        <v>-1940321.23</v>
      </c>
      <c r="K37" s="227">
        <v>-1836139.5099999998</v>
      </c>
      <c r="L37" s="348">
        <v>-4149861.0999999996</v>
      </c>
      <c r="M37" s="378">
        <v>-4170966.4799999995</v>
      </c>
      <c r="N37" s="378">
        <v>-4120255.9</v>
      </c>
      <c r="O37" s="378">
        <v>-4112615.24</v>
      </c>
      <c r="P37" s="423">
        <v>-1928180.8</v>
      </c>
      <c r="Q37" s="424">
        <v>-1613425.7899999998</v>
      </c>
      <c r="R37" s="424">
        <v>-1611327.41</v>
      </c>
      <c r="S37" s="424">
        <v>-1695378.35</v>
      </c>
      <c r="T37" s="460">
        <v>-3762324.39</v>
      </c>
      <c r="U37" s="461">
        <v>-3660387.78</v>
      </c>
      <c r="V37" s="461"/>
      <c r="W37" s="461"/>
      <c r="X37" s="51"/>
    </row>
    <row r="38" spans="1:24" ht="16.5" x14ac:dyDescent="0.25">
      <c r="A38" s="119">
        <v>37</v>
      </c>
      <c r="B38" s="120" t="s">
        <v>44</v>
      </c>
      <c r="C38" s="216">
        <v>-119559.19</v>
      </c>
      <c r="D38" s="220">
        <v>-117532.11</v>
      </c>
      <c r="E38" s="221">
        <v>-107886.49</v>
      </c>
      <c r="F38" s="221">
        <v>-96075.01</v>
      </c>
      <c r="G38" s="222">
        <v>-205843.32</v>
      </c>
      <c r="H38" s="227"/>
      <c r="I38" s="227"/>
      <c r="J38" s="227">
        <v>-225765.39999999997</v>
      </c>
      <c r="K38" s="227">
        <v>-401067.63</v>
      </c>
      <c r="L38" s="348">
        <v>-381443.48</v>
      </c>
      <c r="M38" s="378">
        <v>-2674719.09</v>
      </c>
      <c r="N38" s="378">
        <v>-2922825.13</v>
      </c>
      <c r="O38" s="378">
        <v>-3059294.98</v>
      </c>
      <c r="P38" s="423">
        <v>-1037211.03</v>
      </c>
      <c r="Q38" s="424">
        <v>-976530.16999999993</v>
      </c>
      <c r="R38" s="424">
        <v>-872799.03</v>
      </c>
      <c r="S38" s="424">
        <v>-906999.09</v>
      </c>
      <c r="T38" s="460">
        <v>-2752244.1</v>
      </c>
      <c r="U38" s="461">
        <v>-1900071.07</v>
      </c>
      <c r="V38" s="461"/>
      <c r="W38" s="461"/>
      <c r="X38" s="51"/>
    </row>
    <row r="39" spans="1:24" ht="16.5" x14ac:dyDescent="0.25">
      <c r="A39" s="119">
        <v>38</v>
      </c>
      <c r="B39" s="120" t="s">
        <v>45</v>
      </c>
      <c r="C39" s="216">
        <v>-3454786.95</v>
      </c>
      <c r="D39" s="220">
        <v>-3170571.75</v>
      </c>
      <c r="E39" s="221">
        <v>-204498.97</v>
      </c>
      <c r="F39" s="221">
        <v>-590670.99</v>
      </c>
      <c r="G39" s="222">
        <v>-581777.81999999995</v>
      </c>
      <c r="H39" s="227"/>
      <c r="I39" s="227"/>
      <c r="J39" s="227">
        <v>-150924.76999999999</v>
      </c>
      <c r="K39" s="227">
        <v>-939196.22</v>
      </c>
      <c r="L39" s="348">
        <v>-203113.71</v>
      </c>
      <c r="M39" s="378">
        <v>-152900.29999999999</v>
      </c>
      <c r="N39" s="378">
        <v>-41780.92</v>
      </c>
      <c r="O39" s="378">
        <v>-152985.51999999999</v>
      </c>
      <c r="P39" s="423">
        <v>-4191147.48</v>
      </c>
      <c r="Q39" s="424">
        <v>-4045155.64</v>
      </c>
      <c r="R39" s="424">
        <v>-4009666.7</v>
      </c>
      <c r="S39" s="424">
        <v>-354006.17</v>
      </c>
      <c r="T39" s="460">
        <v>-350650.91</v>
      </c>
      <c r="U39" s="461">
        <v>-2140.88</v>
      </c>
      <c r="V39" s="461"/>
      <c r="W39" s="461"/>
      <c r="X39" s="51"/>
    </row>
    <row r="40" spans="1:24" ht="16.5" x14ac:dyDescent="0.25">
      <c r="A40" s="119">
        <v>39</v>
      </c>
      <c r="B40" s="120" t="s">
        <v>46</v>
      </c>
      <c r="C40" s="216">
        <v>-1322664.03</v>
      </c>
      <c r="D40" s="220">
        <v>-771947.46</v>
      </c>
      <c r="E40" s="221">
        <v>-937784.49</v>
      </c>
      <c r="F40" s="221">
        <v>-910005.44</v>
      </c>
      <c r="G40" s="222">
        <v>-1430099.69</v>
      </c>
      <c r="H40" s="227"/>
      <c r="I40" s="227"/>
      <c r="J40" s="227">
        <v>-5296220.18</v>
      </c>
      <c r="K40" s="227">
        <v>-5108375.5699999994</v>
      </c>
      <c r="L40" s="348">
        <v>-4238976.3899999997</v>
      </c>
      <c r="M40" s="378">
        <v>-323199.11</v>
      </c>
      <c r="N40" s="378">
        <v>-303215.83</v>
      </c>
      <c r="O40" s="378">
        <v>-290849.53000000003</v>
      </c>
      <c r="P40" s="423">
        <v>-204682.5</v>
      </c>
      <c r="Q40" s="424">
        <v>-145011.85</v>
      </c>
      <c r="R40" s="424">
        <v>-126042.52</v>
      </c>
      <c r="S40" s="424">
        <v>-557510.86</v>
      </c>
      <c r="T40" s="460">
        <v>-449464.47</v>
      </c>
      <c r="U40" s="461">
        <v>-147244.25</v>
      </c>
      <c r="V40" s="461"/>
      <c r="W40" s="461"/>
      <c r="X40" s="51"/>
    </row>
    <row r="41" spans="1:24" ht="16.5" x14ac:dyDescent="0.25">
      <c r="A41" s="119">
        <v>40</v>
      </c>
      <c r="B41" s="120" t="s">
        <v>47</v>
      </c>
      <c r="C41" s="216">
        <v>-73056.429999999993</v>
      </c>
      <c r="D41" s="220">
        <v>-22009.32</v>
      </c>
      <c r="E41" s="221">
        <v>0</v>
      </c>
      <c r="F41" s="221">
        <v>-1893955.28</v>
      </c>
      <c r="G41" s="222">
        <v>-1436621.97</v>
      </c>
      <c r="H41" s="227"/>
      <c r="I41" s="227"/>
      <c r="J41" s="227">
        <v>-2586171.2599999998</v>
      </c>
      <c r="K41" s="227">
        <v>-2425084.6599999997</v>
      </c>
      <c r="L41" s="348">
        <v>-255348.67999999996</v>
      </c>
      <c r="M41" s="378">
        <v>-149221.4</v>
      </c>
      <c r="N41" s="378">
        <v>-1926223.3</v>
      </c>
      <c r="O41" s="378">
        <v>-1897873.38</v>
      </c>
      <c r="P41" s="423">
        <v>-401475.01</v>
      </c>
      <c r="Q41" s="424">
        <v>-550100.98</v>
      </c>
      <c r="R41" s="424">
        <v>-518688.37</v>
      </c>
      <c r="S41" s="424">
        <v>-515212.27</v>
      </c>
      <c r="T41" s="460">
        <v>-92711.95</v>
      </c>
      <c r="U41" s="461">
        <v>-59161.35</v>
      </c>
      <c r="V41" s="461"/>
      <c r="W41" s="461"/>
      <c r="X41" s="51"/>
    </row>
    <row r="42" spans="1:24" ht="16.5" x14ac:dyDescent="0.25">
      <c r="A42" s="119">
        <v>41</v>
      </c>
      <c r="B42" s="120" t="s">
        <v>48</v>
      </c>
      <c r="C42" s="216">
        <v>-1343307.52</v>
      </c>
      <c r="D42" s="220">
        <v>-1130687.69</v>
      </c>
      <c r="E42" s="221">
        <v>-27028.66</v>
      </c>
      <c r="F42" s="221">
        <v>-1430842.97</v>
      </c>
      <c r="G42" s="222">
        <v>-1430842.97</v>
      </c>
      <c r="H42" s="227"/>
      <c r="I42" s="227"/>
      <c r="J42" s="227">
        <v>-2497708.2199999997</v>
      </c>
      <c r="K42" s="227">
        <v>-2118379.5299999998</v>
      </c>
      <c r="L42" s="348">
        <v>-1653275.45</v>
      </c>
      <c r="M42" s="378">
        <v>-86404.37</v>
      </c>
      <c r="N42" s="378">
        <v>-231420.19</v>
      </c>
      <c r="O42" s="378">
        <v>-187981.9</v>
      </c>
      <c r="P42" s="423">
        <v>-187981.9</v>
      </c>
      <c r="Q42" s="424">
        <v>0</v>
      </c>
      <c r="R42" s="424">
        <v>0</v>
      </c>
      <c r="S42" s="424">
        <v>-2843489.33</v>
      </c>
      <c r="T42" s="460">
        <v>-1347319.49</v>
      </c>
      <c r="U42" s="461">
        <v>-221313.42</v>
      </c>
      <c r="V42" s="461"/>
      <c r="W42" s="461"/>
      <c r="X42" s="51"/>
    </row>
    <row r="43" spans="1:24" ht="16.5" x14ac:dyDescent="0.25">
      <c r="A43" s="119">
        <v>42</v>
      </c>
      <c r="B43" s="120" t="s">
        <v>49</v>
      </c>
      <c r="C43" s="216">
        <v>-833343.98</v>
      </c>
      <c r="D43" s="220">
        <v>-644623.06999999995</v>
      </c>
      <c r="E43" s="221">
        <v>-595538.71</v>
      </c>
      <c r="F43" s="221">
        <v>-2413568.65</v>
      </c>
      <c r="G43" s="222">
        <v>-1990212</v>
      </c>
      <c r="H43" s="227"/>
      <c r="I43" s="227"/>
      <c r="J43" s="227">
        <v>-4142801.32</v>
      </c>
      <c r="K43" s="227">
        <v>-3984449.38</v>
      </c>
      <c r="L43" s="348">
        <v>-2446414.7599999998</v>
      </c>
      <c r="M43" s="378">
        <v>-2580114.96</v>
      </c>
      <c r="N43" s="378">
        <v>-5195126.51</v>
      </c>
      <c r="O43" s="378">
        <v>-4438006.9000000004</v>
      </c>
      <c r="P43" s="423">
        <v>-1543148.31</v>
      </c>
      <c r="Q43" s="424">
        <v>-381558.65</v>
      </c>
      <c r="R43" s="424">
        <v>-123603.77</v>
      </c>
      <c r="S43" s="424">
        <v>-2587244.15</v>
      </c>
      <c r="T43" s="460">
        <v>-340593.74</v>
      </c>
      <c r="U43" s="461">
        <v>-198148.59</v>
      </c>
      <c r="V43" s="461"/>
      <c r="W43" s="461"/>
      <c r="X43" s="51"/>
    </row>
    <row r="44" spans="1:24" ht="16.5" x14ac:dyDescent="0.25">
      <c r="A44" s="119">
        <v>43</v>
      </c>
      <c r="B44" s="120" t="s">
        <v>50</v>
      </c>
      <c r="C44" s="216">
        <v>-4670453.96</v>
      </c>
      <c r="D44" s="220">
        <v>-4246846.45</v>
      </c>
      <c r="E44" s="221">
        <v>-1891020.76</v>
      </c>
      <c r="F44" s="221">
        <v>-1841996.77</v>
      </c>
      <c r="G44" s="222">
        <v>-1181162.92</v>
      </c>
      <c r="H44" s="227"/>
      <c r="I44" s="227"/>
      <c r="J44" s="227">
        <v>-2048750.5699999996</v>
      </c>
      <c r="K44" s="227">
        <v>-657003.01</v>
      </c>
      <c r="L44" s="348">
        <v>-214684.62</v>
      </c>
      <c r="M44" s="378">
        <v>-144426.82</v>
      </c>
      <c r="N44" s="378">
        <v>-2335425.85</v>
      </c>
      <c r="O44" s="378">
        <v>-995059.66</v>
      </c>
      <c r="P44" s="423">
        <v>-131744.37</v>
      </c>
      <c r="Q44" s="424">
        <v>-63829.440000000002</v>
      </c>
      <c r="R44" s="424">
        <v>-41826.31</v>
      </c>
      <c r="S44" s="424">
        <v>-1042394.24</v>
      </c>
      <c r="T44" s="460">
        <v>-19485.04</v>
      </c>
      <c r="U44" s="461">
        <v>-19485.04</v>
      </c>
      <c r="V44" s="461"/>
      <c r="W44" s="461"/>
      <c r="X44" s="51"/>
    </row>
    <row r="45" spans="1:24" ht="16.5" x14ac:dyDescent="0.25">
      <c r="A45" s="119">
        <v>44</v>
      </c>
      <c r="B45" s="120" t="s">
        <v>51</v>
      </c>
      <c r="C45" s="216">
        <v>-2314172.4500000002</v>
      </c>
      <c r="D45" s="220">
        <v>-61355.37</v>
      </c>
      <c r="E45" s="221">
        <v>-56096.22</v>
      </c>
      <c r="F45" s="221">
        <v>0</v>
      </c>
      <c r="G45" s="222">
        <v>0</v>
      </c>
      <c r="H45" s="227"/>
      <c r="I45" s="227"/>
      <c r="J45" s="227">
        <v>-3719506.15</v>
      </c>
      <c r="K45" s="227">
        <v>-2883279.63</v>
      </c>
      <c r="L45" s="348">
        <v>-1462184.5799999998</v>
      </c>
      <c r="M45" s="378">
        <v>-1310799.0599999998</v>
      </c>
      <c r="N45" s="378">
        <v>-1381383.85</v>
      </c>
      <c r="O45" s="378">
        <v>-1118499.22</v>
      </c>
      <c r="P45" s="423">
        <v>-52448.61</v>
      </c>
      <c r="Q45" s="424">
        <v>-12969.17</v>
      </c>
      <c r="R45" s="424">
        <v>-12969.17</v>
      </c>
      <c r="S45" s="424">
        <v>-4858995.09</v>
      </c>
      <c r="T45" s="460">
        <v>-4475310.58</v>
      </c>
      <c r="U45" s="461">
        <v>-4002605.8</v>
      </c>
      <c r="V45" s="461"/>
      <c r="W45" s="461"/>
      <c r="X45" s="51"/>
    </row>
    <row r="46" spans="1:24" ht="16.5" x14ac:dyDescent="0.25">
      <c r="A46" s="119">
        <v>45</v>
      </c>
      <c r="B46" s="120" t="s">
        <v>52</v>
      </c>
      <c r="C46" s="216">
        <v>-1702104.88</v>
      </c>
      <c r="D46" s="220">
        <v>-1770486.15</v>
      </c>
      <c r="E46" s="221">
        <v>-143546.99</v>
      </c>
      <c r="F46" s="221">
        <v>-193546.89</v>
      </c>
      <c r="G46" s="222">
        <v>-885385.82</v>
      </c>
      <c r="H46" s="227"/>
      <c r="I46" s="227"/>
      <c r="J46" s="227">
        <v>-686757.9</v>
      </c>
      <c r="K46" s="227">
        <v>-231450.83</v>
      </c>
      <c r="L46" s="348">
        <v>-123949.73999999999</v>
      </c>
      <c r="M46" s="378">
        <v>-104849.73999999999</v>
      </c>
      <c r="N46" s="378">
        <v>-82884.740000000005</v>
      </c>
      <c r="O46" s="378">
        <v>-52656.7</v>
      </c>
      <c r="P46" s="423">
        <v>-35324.199999999997</v>
      </c>
      <c r="Q46" s="424">
        <v>-1736242.3399999999</v>
      </c>
      <c r="R46" s="424">
        <v>-1743967.14</v>
      </c>
      <c r="S46" s="424">
        <v>-3498571.11</v>
      </c>
      <c r="T46" s="460">
        <v>-2134854.59</v>
      </c>
      <c r="U46" s="461">
        <v>-79570.100000000006</v>
      </c>
      <c r="V46" s="461"/>
      <c r="W46" s="461"/>
      <c r="X46" s="51"/>
    </row>
    <row r="47" spans="1:24" ht="16.5" x14ac:dyDescent="0.25">
      <c r="A47" s="119">
        <v>46</v>
      </c>
      <c r="B47" s="121" t="s">
        <v>53</v>
      </c>
      <c r="C47" s="216">
        <v>0</v>
      </c>
      <c r="D47" s="220">
        <v>0</v>
      </c>
      <c r="E47" s="221">
        <v>0</v>
      </c>
      <c r="F47" s="221">
        <v>-1227389.24</v>
      </c>
      <c r="G47" s="222">
        <v>-138153.71</v>
      </c>
      <c r="H47" s="227"/>
      <c r="I47" s="227"/>
      <c r="J47" s="227">
        <v>117950.56999999999</v>
      </c>
      <c r="K47" s="227">
        <v>0</v>
      </c>
      <c r="L47" s="348">
        <v>0</v>
      </c>
      <c r="M47" s="378">
        <v>0</v>
      </c>
      <c r="N47" s="378">
        <v>0</v>
      </c>
      <c r="O47" s="378">
        <v>0</v>
      </c>
      <c r="P47" s="423">
        <v>0</v>
      </c>
      <c r="Q47" s="424">
        <v>0</v>
      </c>
      <c r="R47" s="424">
        <v>0</v>
      </c>
      <c r="S47" s="424">
        <v>-1084556.3899999999</v>
      </c>
      <c r="T47" s="460">
        <v>-1715335.03</v>
      </c>
      <c r="U47" s="461">
        <v>-1736492.28</v>
      </c>
      <c r="V47" s="461"/>
      <c r="W47" s="461"/>
      <c r="X47" s="51"/>
    </row>
    <row r="48" spans="1:24" ht="16.5" x14ac:dyDescent="0.25">
      <c r="A48" s="119">
        <v>47</v>
      </c>
      <c r="B48" s="120" t="s">
        <v>54</v>
      </c>
      <c r="C48" s="216">
        <v>-3413215.66</v>
      </c>
      <c r="D48" s="220">
        <v>-792350.88</v>
      </c>
      <c r="E48" s="221">
        <v>-349589.44</v>
      </c>
      <c r="F48" s="221">
        <v>-55860.05</v>
      </c>
      <c r="G48" s="222">
        <v>-54656.6</v>
      </c>
      <c r="H48" s="227"/>
      <c r="I48" s="227"/>
      <c r="J48" s="227">
        <v>-7154.2599999999984</v>
      </c>
      <c r="K48" s="227">
        <v>-33705.99</v>
      </c>
      <c r="L48" s="348">
        <v>-23071.4</v>
      </c>
      <c r="M48" s="378">
        <v>-23071.4</v>
      </c>
      <c r="N48" s="378">
        <v>-16.5</v>
      </c>
      <c r="O48" s="378">
        <v>-2612030.9</v>
      </c>
      <c r="P48" s="423">
        <v>-2612030.9</v>
      </c>
      <c r="Q48" s="424">
        <v>-2612030.9</v>
      </c>
      <c r="R48" s="424">
        <v>-2612030.9</v>
      </c>
      <c r="S48" s="424">
        <v>-7300339.8399999999</v>
      </c>
      <c r="T48" s="460">
        <v>-4822539.45</v>
      </c>
      <c r="U48" s="461">
        <v>-134230.10999999999</v>
      </c>
      <c r="V48" s="461"/>
      <c r="W48" s="461"/>
      <c r="X48" s="51"/>
    </row>
    <row r="49" spans="1:24" ht="16.5" x14ac:dyDescent="0.25">
      <c r="A49" s="119">
        <v>48</v>
      </c>
      <c r="B49" s="120" t="s">
        <v>55</v>
      </c>
      <c r="C49" s="216">
        <v>-308956.3</v>
      </c>
      <c r="D49" s="220">
        <v>0</v>
      </c>
      <c r="E49" s="221">
        <v>0</v>
      </c>
      <c r="F49" s="221">
        <v>-1659840.2</v>
      </c>
      <c r="G49" s="222">
        <v>-1611563.3</v>
      </c>
      <c r="H49" s="227"/>
      <c r="I49" s="227"/>
      <c r="J49" s="227">
        <v>-1269453.6199999999</v>
      </c>
      <c r="K49" s="227">
        <v>-259362.09999999998</v>
      </c>
      <c r="L49" s="348">
        <v>-247402.72999999998</v>
      </c>
      <c r="M49" s="378">
        <v>-2386062.3199999998</v>
      </c>
      <c r="N49" s="378">
        <v>-2138659.59</v>
      </c>
      <c r="O49" s="378">
        <v>-1305469.33</v>
      </c>
      <c r="P49" s="423">
        <v>-137222.59</v>
      </c>
      <c r="Q49" s="424">
        <v>-104526.23999999999</v>
      </c>
      <c r="R49" s="424">
        <v>0</v>
      </c>
      <c r="S49" s="424">
        <v>-34386.61</v>
      </c>
      <c r="T49" s="460">
        <v>0</v>
      </c>
      <c r="U49" s="461">
        <v>-32060.62</v>
      </c>
      <c r="V49" s="461"/>
      <c r="W49" s="461"/>
      <c r="X49" s="51"/>
    </row>
    <row r="50" spans="1:24" ht="16.5" x14ac:dyDescent="0.25">
      <c r="A50" s="119">
        <v>49</v>
      </c>
      <c r="B50" s="120" t="s">
        <v>56</v>
      </c>
      <c r="C50" s="216">
        <v>-1014631.57</v>
      </c>
      <c r="D50" s="220">
        <v>-541713.43000000005</v>
      </c>
      <c r="E50" s="221">
        <v>-197411.01</v>
      </c>
      <c r="F50" s="221">
        <v>-1670622.23</v>
      </c>
      <c r="G50" s="222">
        <v>-2239434.2799999998</v>
      </c>
      <c r="H50" s="227"/>
      <c r="I50" s="227"/>
      <c r="J50" s="227">
        <v>-1519151.7599999998</v>
      </c>
      <c r="K50" s="227">
        <v>-606272.98</v>
      </c>
      <c r="L50" s="348">
        <v>-426879.8</v>
      </c>
      <c r="M50" s="378">
        <v>-1682735.2999999998</v>
      </c>
      <c r="N50" s="378">
        <v>-1679565.83</v>
      </c>
      <c r="O50" s="378">
        <v>-261825.36</v>
      </c>
      <c r="P50" s="423">
        <v>-5494.19</v>
      </c>
      <c r="Q50" s="424">
        <v>0</v>
      </c>
      <c r="R50" s="424">
        <v>0</v>
      </c>
      <c r="S50" s="424">
        <v>-2175021.14</v>
      </c>
      <c r="T50" s="460">
        <v>-109479.79</v>
      </c>
      <c r="U50" s="461">
        <v>-2490292.67</v>
      </c>
      <c r="V50" s="461"/>
      <c r="W50" s="461"/>
      <c r="X50" s="51"/>
    </row>
    <row r="51" spans="1:24" ht="16.5" x14ac:dyDescent="0.25">
      <c r="A51" s="119">
        <v>50</v>
      </c>
      <c r="B51" s="120" t="s">
        <v>57</v>
      </c>
      <c r="C51" s="216">
        <v>-5383571.9800000004</v>
      </c>
      <c r="D51" s="220">
        <v>-4820464.76</v>
      </c>
      <c r="E51" s="221">
        <v>-3282830.33</v>
      </c>
      <c r="F51" s="221">
        <v>-3105978.86</v>
      </c>
      <c r="G51" s="222">
        <v>-3042126.36</v>
      </c>
      <c r="H51" s="227"/>
      <c r="I51" s="227"/>
      <c r="J51" s="227">
        <v>-65304.81</v>
      </c>
      <c r="K51" s="227">
        <v>-1710.4099999999999</v>
      </c>
      <c r="L51" s="348">
        <v>-3007478.27</v>
      </c>
      <c r="M51" s="378">
        <v>-3056513.42</v>
      </c>
      <c r="N51" s="378">
        <v>-4226530.8099999996</v>
      </c>
      <c r="O51" s="378">
        <v>-1397084.45</v>
      </c>
      <c r="P51" s="423">
        <v>-4693483.54</v>
      </c>
      <c r="Q51" s="424">
        <v>-5575134.5999999996</v>
      </c>
      <c r="R51" s="424">
        <v>-5530190.0999999996</v>
      </c>
      <c r="S51" s="424">
        <v>-1754122.51</v>
      </c>
      <c r="T51" s="460">
        <v>-833082.63</v>
      </c>
      <c r="U51" s="461">
        <v>-4327451.8899999997</v>
      </c>
      <c r="V51" s="461"/>
      <c r="W51" s="461"/>
      <c r="X51" s="51"/>
    </row>
    <row r="52" spans="1:24" ht="16.5" x14ac:dyDescent="0.25">
      <c r="A52" s="119">
        <v>51</v>
      </c>
      <c r="B52" s="120" t="s">
        <v>58</v>
      </c>
      <c r="C52" s="216">
        <v>-1689088.32</v>
      </c>
      <c r="D52" s="220">
        <v>-433846.83</v>
      </c>
      <c r="E52" s="221">
        <v>-1557951.01</v>
      </c>
      <c r="F52" s="221">
        <v>-1238159.1100000001</v>
      </c>
      <c r="G52" s="222">
        <v>-1229914.1100000001</v>
      </c>
      <c r="H52" s="227"/>
      <c r="I52" s="227"/>
      <c r="J52" s="227">
        <v>-1328298.8699999999</v>
      </c>
      <c r="K52" s="227">
        <v>-1802142.0999999999</v>
      </c>
      <c r="L52" s="348">
        <v>-2592436.5299999998</v>
      </c>
      <c r="M52" s="378">
        <v>-2960450.83</v>
      </c>
      <c r="N52" s="378">
        <v>-3893756.5</v>
      </c>
      <c r="O52" s="378">
        <v>-3570445.12</v>
      </c>
      <c r="P52" s="423">
        <v>-3476805.69</v>
      </c>
      <c r="Q52" s="424">
        <v>-1673092.0399999998</v>
      </c>
      <c r="R52" s="424">
        <v>-875743.89</v>
      </c>
      <c r="S52" s="424">
        <v>-1012930.53</v>
      </c>
      <c r="T52" s="460">
        <v>-2790712.72</v>
      </c>
      <c r="U52" s="461">
        <v>-3344262.18</v>
      </c>
      <c r="V52" s="461"/>
      <c r="W52" s="461"/>
      <c r="X52" s="51"/>
    </row>
    <row r="53" spans="1:24" ht="16.5" x14ac:dyDescent="0.25">
      <c r="A53" s="119">
        <v>52</v>
      </c>
      <c r="B53" s="120" t="s">
        <v>59</v>
      </c>
      <c r="C53" s="216">
        <v>-4309039.9000000004</v>
      </c>
      <c r="D53" s="220">
        <v>-3214217.86</v>
      </c>
      <c r="E53" s="221">
        <v>-566937.36</v>
      </c>
      <c r="F53" s="221">
        <v>-853786.11</v>
      </c>
      <c r="G53" s="222">
        <v>-341571.53</v>
      </c>
      <c r="H53" s="227"/>
      <c r="I53" s="227"/>
      <c r="J53" s="227">
        <v>-6498063.4199999999</v>
      </c>
      <c r="K53" s="227">
        <v>-5179565.5600000005</v>
      </c>
      <c r="L53" s="348">
        <v>-3779128.09</v>
      </c>
      <c r="M53" s="378">
        <v>-1273596.33</v>
      </c>
      <c r="N53" s="378">
        <v>-494760.06</v>
      </c>
      <c r="O53" s="378">
        <v>-481115.54</v>
      </c>
      <c r="P53" s="423">
        <v>-481115.54</v>
      </c>
      <c r="Q53" s="424">
        <v>-1402761.3699999999</v>
      </c>
      <c r="R53" s="424">
        <v>-1003197.05</v>
      </c>
      <c r="S53" s="424">
        <v>-5024230.32</v>
      </c>
      <c r="T53" s="460">
        <v>-2307017.89</v>
      </c>
      <c r="U53" s="461">
        <v>-631385.97</v>
      </c>
      <c r="V53" s="461"/>
      <c r="W53" s="461"/>
      <c r="X53" s="51"/>
    </row>
    <row r="54" spans="1:24" ht="16.5" x14ac:dyDescent="0.25">
      <c r="A54" s="119">
        <v>53</v>
      </c>
      <c r="B54" s="120" t="s">
        <v>60</v>
      </c>
      <c r="C54" s="216">
        <v>0</v>
      </c>
      <c r="D54" s="220">
        <v>0</v>
      </c>
      <c r="E54" s="221">
        <v>0</v>
      </c>
      <c r="F54" s="221">
        <v>0</v>
      </c>
      <c r="G54" s="222">
        <v>0</v>
      </c>
      <c r="H54" s="227"/>
      <c r="I54" s="227"/>
      <c r="J54" s="227">
        <v>0</v>
      </c>
      <c r="K54" s="227">
        <v>0</v>
      </c>
      <c r="L54" s="348">
        <v>0</v>
      </c>
      <c r="M54" s="378">
        <v>-1501148.88</v>
      </c>
      <c r="N54" s="378">
        <v>-1496643.33</v>
      </c>
      <c r="O54" s="378">
        <v>-1437753.35</v>
      </c>
      <c r="P54" s="423">
        <v>-293689.26</v>
      </c>
      <c r="Q54" s="424">
        <v>0</v>
      </c>
      <c r="R54" s="424">
        <v>0</v>
      </c>
      <c r="S54" s="424">
        <v>0</v>
      </c>
      <c r="T54" s="460">
        <v>-2845032.71</v>
      </c>
      <c r="U54" s="461">
        <v>-109372.35</v>
      </c>
      <c r="V54" s="461"/>
      <c r="W54" s="461"/>
      <c r="X54" s="51"/>
    </row>
    <row r="55" spans="1:24" ht="16.5" x14ac:dyDescent="0.25">
      <c r="A55" s="119">
        <v>54</v>
      </c>
      <c r="B55" s="120" t="s">
        <v>61</v>
      </c>
      <c r="C55" s="216">
        <v>-399339.41</v>
      </c>
      <c r="D55" s="220">
        <v>-1346189.37</v>
      </c>
      <c r="E55" s="221">
        <v>-3357337.28</v>
      </c>
      <c r="F55" s="221">
        <v>-3359721.28</v>
      </c>
      <c r="G55" s="222">
        <v>-3163313.35</v>
      </c>
      <c r="H55" s="227"/>
      <c r="I55" s="227"/>
      <c r="J55" s="227">
        <v>-148325.71999999997</v>
      </c>
      <c r="K55" s="227">
        <v>-65821.73</v>
      </c>
      <c r="L55" s="348">
        <v>-53997.49</v>
      </c>
      <c r="M55" s="378">
        <v>-18161.75</v>
      </c>
      <c r="N55" s="378">
        <v>0</v>
      </c>
      <c r="O55" s="378">
        <v>-4026014.65</v>
      </c>
      <c r="P55" s="423">
        <v>-4010979.65</v>
      </c>
      <c r="Q55" s="424">
        <v>-4010979.65</v>
      </c>
      <c r="R55" s="424">
        <v>-4010979.65</v>
      </c>
      <c r="S55" s="424">
        <v>-599968.1</v>
      </c>
      <c r="T55" s="460">
        <v>-34282.71</v>
      </c>
      <c r="U55" s="461">
        <v>-1275508.07</v>
      </c>
      <c r="V55" s="461"/>
      <c r="W55" s="461"/>
      <c r="X55" s="51"/>
    </row>
    <row r="56" spans="1:24" ht="16.5" x14ac:dyDescent="0.25">
      <c r="A56" s="119">
        <v>55</v>
      </c>
      <c r="B56" s="120" t="s">
        <v>62</v>
      </c>
      <c r="C56" s="216">
        <v>-1152097.98</v>
      </c>
      <c r="D56" s="220">
        <v>-798308.02</v>
      </c>
      <c r="E56" s="221">
        <v>-63726.080000000002</v>
      </c>
      <c r="F56" s="221">
        <v>-1666482.68</v>
      </c>
      <c r="G56" s="222">
        <v>-4995336.16</v>
      </c>
      <c r="H56" s="227"/>
      <c r="I56" s="227"/>
      <c r="J56" s="227">
        <v>-4987177.45</v>
      </c>
      <c r="K56" s="227">
        <v>-4501867.6099999994</v>
      </c>
      <c r="L56" s="348">
        <v>-3454400.86</v>
      </c>
      <c r="M56" s="378">
        <v>-1212724.5099999998</v>
      </c>
      <c r="N56" s="378">
        <v>-3652147.78</v>
      </c>
      <c r="O56" s="378">
        <v>-2596867.71</v>
      </c>
      <c r="P56" s="423">
        <v>-452370.62</v>
      </c>
      <c r="Q56" s="424">
        <v>-1723152.17</v>
      </c>
      <c r="R56" s="424">
        <v>-1348933.4</v>
      </c>
      <c r="S56" s="424">
        <v>-542952.62</v>
      </c>
      <c r="T56" s="460">
        <v>-1064136.53</v>
      </c>
      <c r="U56" s="461">
        <v>-1026111.18</v>
      </c>
      <c r="V56" s="461"/>
      <c r="W56" s="461"/>
      <c r="X56" s="51"/>
    </row>
    <row r="57" spans="1:24" ht="16.5" x14ac:dyDescent="0.25">
      <c r="A57" s="119">
        <v>56</v>
      </c>
      <c r="B57" s="120" t="s">
        <v>63</v>
      </c>
      <c r="C57" s="216">
        <v>-686483.24</v>
      </c>
      <c r="D57" s="220">
        <v>-654296.72</v>
      </c>
      <c r="E57" s="221">
        <v>-2401726.21</v>
      </c>
      <c r="F57" s="221">
        <v>-2306453.54</v>
      </c>
      <c r="G57" s="222">
        <v>-2225687.83</v>
      </c>
      <c r="H57" s="227"/>
      <c r="I57" s="227"/>
      <c r="J57" s="227">
        <v>-2091704.4299999997</v>
      </c>
      <c r="K57" s="227">
        <v>-2059062.0199999998</v>
      </c>
      <c r="L57" s="348">
        <v>-860348.67999999993</v>
      </c>
      <c r="M57" s="378">
        <v>-563535.82999999996</v>
      </c>
      <c r="N57" s="378">
        <v>-139430.68</v>
      </c>
      <c r="O57" s="378">
        <v>-25352.31</v>
      </c>
      <c r="P57" s="423">
        <v>0</v>
      </c>
      <c r="Q57" s="424">
        <v>-4307192.91</v>
      </c>
      <c r="R57" s="424">
        <v>-4284526.8899999997</v>
      </c>
      <c r="S57" s="424">
        <v>-3023146</v>
      </c>
      <c r="T57" s="460">
        <v>-114471.81</v>
      </c>
      <c r="U57" s="461">
        <v>-1650544.45</v>
      </c>
      <c r="V57" s="461"/>
      <c r="W57" s="461"/>
      <c r="X57" s="51"/>
    </row>
    <row r="58" spans="1:24" ht="16.5" x14ac:dyDescent="0.25">
      <c r="A58" s="119">
        <v>57</v>
      </c>
      <c r="B58" s="120" t="s">
        <v>64</v>
      </c>
      <c r="C58" s="216">
        <v>-10637972.93</v>
      </c>
      <c r="D58" s="220">
        <v>-6891346.4100000001</v>
      </c>
      <c r="E58" s="221">
        <v>-3477280.18</v>
      </c>
      <c r="F58" s="221">
        <v>-4309273.42</v>
      </c>
      <c r="G58" s="222">
        <v>-3238995.98</v>
      </c>
      <c r="H58" s="227"/>
      <c r="I58" s="227"/>
      <c r="J58" s="227">
        <v>-142914.99</v>
      </c>
      <c r="K58" s="227">
        <v>-2822777.29</v>
      </c>
      <c r="L58" s="348">
        <v>-1127188.96</v>
      </c>
      <c r="M58" s="378">
        <v>-462327.39</v>
      </c>
      <c r="N58" s="378">
        <v>-6624026.5700000003</v>
      </c>
      <c r="O58" s="378">
        <v>-6241515.1699999999</v>
      </c>
      <c r="P58" s="423">
        <v>-1125519.18</v>
      </c>
      <c r="Q58" s="424">
        <v>-185396.47999999998</v>
      </c>
      <c r="R58" s="424">
        <v>-168841</v>
      </c>
      <c r="S58" s="424">
        <v>-429264.04</v>
      </c>
      <c r="T58" s="460">
        <v>0</v>
      </c>
      <c r="U58" s="461">
        <v>0</v>
      </c>
      <c r="V58" s="461"/>
      <c r="W58" s="461"/>
      <c r="X58" s="51"/>
    </row>
    <row r="59" spans="1:24" ht="16.5" x14ac:dyDescent="0.25">
      <c r="A59" s="119">
        <v>58</v>
      </c>
      <c r="B59" s="120" t="s">
        <v>65</v>
      </c>
      <c r="C59" s="216">
        <v>-814797.5</v>
      </c>
      <c r="D59" s="220">
        <v>-1097968.08</v>
      </c>
      <c r="E59" s="221">
        <v>-944120.86</v>
      </c>
      <c r="F59" s="221">
        <v>-788343.43</v>
      </c>
      <c r="G59" s="222">
        <v>-265139.21999999997</v>
      </c>
      <c r="H59" s="227"/>
      <c r="I59" s="227"/>
      <c r="J59" s="227">
        <v>-2920986.09</v>
      </c>
      <c r="K59" s="227">
        <v>-2730384.32</v>
      </c>
      <c r="L59" s="348">
        <v>-801079.28</v>
      </c>
      <c r="M59" s="378">
        <v>-635825.03</v>
      </c>
      <c r="N59" s="378">
        <v>-517582.1</v>
      </c>
      <c r="O59" s="378">
        <v>-252113.81</v>
      </c>
      <c r="P59" s="423">
        <v>-176635.67</v>
      </c>
      <c r="Q59" s="424">
        <v>-175400.86000000002</v>
      </c>
      <c r="R59" s="424">
        <v>-160972.13</v>
      </c>
      <c r="S59" s="424">
        <v>-143274.13</v>
      </c>
      <c r="T59" s="460">
        <v>-143274.13</v>
      </c>
      <c r="U59" s="461">
        <v>-2422389.7000000002</v>
      </c>
      <c r="V59" s="461"/>
      <c r="W59" s="461"/>
      <c r="X59" s="51"/>
    </row>
    <row r="60" spans="1:24" ht="16.5" x14ac:dyDescent="0.25">
      <c r="A60" s="119">
        <v>59</v>
      </c>
      <c r="B60" s="120" t="s">
        <v>113</v>
      </c>
      <c r="C60" s="216">
        <v>986.22</v>
      </c>
      <c r="D60" s="220">
        <v>234387.22</v>
      </c>
      <c r="E60" s="221">
        <v>21028.23</v>
      </c>
      <c r="F60" s="221">
        <v>21028.23</v>
      </c>
      <c r="G60" s="222">
        <v>21028.23</v>
      </c>
      <c r="H60" s="227"/>
      <c r="I60" s="227"/>
      <c r="J60" s="227">
        <v>-748196.72</v>
      </c>
      <c r="K60" s="227">
        <v>-528794.12</v>
      </c>
      <c r="L60" s="348">
        <v>-194520.69999999998</v>
      </c>
      <c r="M60" s="378">
        <v>-4069498.83</v>
      </c>
      <c r="N60" s="378">
        <v>-4067558.83</v>
      </c>
      <c r="O60" s="378">
        <v>-3632171.15</v>
      </c>
      <c r="P60" s="423">
        <v>-338003.81</v>
      </c>
      <c r="Q60" s="424">
        <v>-338003.81</v>
      </c>
      <c r="R60" s="424">
        <v>-338003.81</v>
      </c>
      <c r="S60" s="424">
        <v>-173484.21</v>
      </c>
      <c r="T60" s="460">
        <v>-168433.07</v>
      </c>
      <c r="U60" s="461">
        <v>-68114.41</v>
      </c>
      <c r="V60" s="461"/>
      <c r="W60" s="461"/>
      <c r="X60" s="51"/>
    </row>
    <row r="61" spans="1:24" ht="16.5" x14ac:dyDescent="0.25">
      <c r="A61" s="119">
        <v>60</v>
      </c>
      <c r="B61" s="120" t="s">
        <v>66</v>
      </c>
      <c r="C61" s="216">
        <v>-3402747.04</v>
      </c>
      <c r="D61" s="220">
        <v>-3390864.54</v>
      </c>
      <c r="E61" s="221">
        <v>-512477.8</v>
      </c>
      <c r="F61" s="221">
        <v>-512477.8</v>
      </c>
      <c r="G61" s="222">
        <v>-512477.8</v>
      </c>
      <c r="H61" s="227"/>
      <c r="I61" s="227"/>
      <c r="J61" s="227">
        <v>-1660915.5399999998</v>
      </c>
      <c r="K61" s="227">
        <v>-1425021.2599999998</v>
      </c>
      <c r="L61" s="348">
        <v>-864581.97</v>
      </c>
      <c r="M61" s="378">
        <v>-395928.42</v>
      </c>
      <c r="N61" s="378">
        <v>-236270.62</v>
      </c>
      <c r="O61" s="378">
        <v>-2730957.85</v>
      </c>
      <c r="P61" s="423">
        <v>-2685510.98</v>
      </c>
      <c r="Q61" s="424">
        <v>-498918.21</v>
      </c>
      <c r="R61" s="424">
        <v>-365351.78</v>
      </c>
      <c r="S61" s="424">
        <v>-2457379.62</v>
      </c>
      <c r="T61" s="460">
        <v>-456358.28</v>
      </c>
      <c r="U61" s="461">
        <v>-456358.28</v>
      </c>
      <c r="V61" s="461"/>
      <c r="W61" s="461"/>
      <c r="X61" s="51"/>
    </row>
    <row r="62" spans="1:24" ht="16.5" x14ac:dyDescent="0.25">
      <c r="A62" s="119">
        <v>61</v>
      </c>
      <c r="B62" s="120" t="s">
        <v>67</v>
      </c>
      <c r="C62" s="216">
        <v>-211596.02</v>
      </c>
      <c r="D62" s="220">
        <v>-210001.12</v>
      </c>
      <c r="E62" s="221">
        <v>-145409.65</v>
      </c>
      <c r="F62" s="221">
        <v>-145409.65</v>
      </c>
      <c r="G62" s="222">
        <v>-578607.35999999999</v>
      </c>
      <c r="H62" s="227"/>
      <c r="I62" s="227"/>
      <c r="J62" s="227">
        <v>-3175777.1799999997</v>
      </c>
      <c r="K62" s="227">
        <v>-2193867.31</v>
      </c>
      <c r="L62" s="348">
        <v>-919720.33</v>
      </c>
      <c r="M62" s="378">
        <v>-2773658.82</v>
      </c>
      <c r="N62" s="378">
        <v>-5479579.29</v>
      </c>
      <c r="O62" s="378">
        <v>-4533534.43</v>
      </c>
      <c r="P62" s="423">
        <v>-3338613.49</v>
      </c>
      <c r="Q62" s="424">
        <v>-1088835.6600000001</v>
      </c>
      <c r="R62" s="424">
        <v>-792817.51</v>
      </c>
      <c r="S62" s="424">
        <v>-779536.53</v>
      </c>
      <c r="T62" s="460">
        <v>-665039.47</v>
      </c>
      <c r="U62" s="461">
        <v>-687182.27</v>
      </c>
      <c r="V62" s="461"/>
      <c r="W62" s="461"/>
      <c r="X62" s="51"/>
    </row>
    <row r="63" spans="1:24" ht="16.5" x14ac:dyDescent="0.25">
      <c r="A63" s="119">
        <v>62</v>
      </c>
      <c r="B63" s="120" t="s">
        <v>68</v>
      </c>
      <c r="C63" s="216">
        <v>-141101.51</v>
      </c>
      <c r="D63" s="220">
        <v>-826822.26</v>
      </c>
      <c r="E63" s="221">
        <v>-743150.06</v>
      </c>
      <c r="F63" s="221">
        <v>-586313.27</v>
      </c>
      <c r="G63" s="222">
        <v>-169148.26</v>
      </c>
      <c r="H63" s="227"/>
      <c r="I63" s="227"/>
      <c r="J63" s="227">
        <v>-3879737.35</v>
      </c>
      <c r="K63" s="227">
        <v>-581143.39</v>
      </c>
      <c r="L63" s="348">
        <v>-379504.24</v>
      </c>
      <c r="M63" s="378">
        <v>-372024.57</v>
      </c>
      <c r="N63" s="378">
        <v>-4872001.1399999997</v>
      </c>
      <c r="O63" s="378">
        <v>-4872001.1399999997</v>
      </c>
      <c r="P63" s="423">
        <v>-2917172.11</v>
      </c>
      <c r="Q63" s="424">
        <v>-3154545.9699999997</v>
      </c>
      <c r="R63" s="424">
        <v>-1737939.11</v>
      </c>
      <c r="S63" s="424">
        <v>-1042444</v>
      </c>
      <c r="T63" s="460">
        <v>-201286.87</v>
      </c>
      <c r="U63" s="461">
        <v>-178638.78</v>
      </c>
      <c r="V63" s="461"/>
      <c r="W63" s="461"/>
      <c r="X63" s="51"/>
    </row>
    <row r="64" spans="1:24" ht="16.5" x14ac:dyDescent="0.25">
      <c r="A64" s="119">
        <v>63</v>
      </c>
      <c r="B64" s="120" t="s">
        <v>69</v>
      </c>
      <c r="C64" s="216">
        <v>-787782.2</v>
      </c>
      <c r="D64" s="220">
        <v>0</v>
      </c>
      <c r="E64" s="221">
        <v>-412865.8</v>
      </c>
      <c r="F64" s="221">
        <v>-2115150.66</v>
      </c>
      <c r="G64" s="222">
        <v>-1970995.51</v>
      </c>
      <c r="H64" s="227"/>
      <c r="I64" s="227"/>
      <c r="J64" s="227">
        <v>-708219.79999999993</v>
      </c>
      <c r="K64" s="227">
        <v>-708219.79999999993</v>
      </c>
      <c r="L64" s="348">
        <v>-353006.38</v>
      </c>
      <c r="M64" s="378">
        <v>-68250.5</v>
      </c>
      <c r="N64" s="378">
        <v>-1524849.49</v>
      </c>
      <c r="O64" s="378">
        <v>-90894.17</v>
      </c>
      <c r="P64" s="423">
        <v>-3682907.64</v>
      </c>
      <c r="Q64" s="424">
        <v>-3472113.7399999998</v>
      </c>
      <c r="R64" s="424">
        <v>-3002622.01</v>
      </c>
      <c r="S64" s="424">
        <v>-2331430.88</v>
      </c>
      <c r="T64" s="460">
        <v>-727455.11</v>
      </c>
      <c r="U64" s="461">
        <v>-185651.99</v>
      </c>
      <c r="V64" s="461"/>
      <c r="W64" s="461"/>
      <c r="X64" s="51"/>
    </row>
    <row r="65" spans="1:24" ht="16.5" x14ac:dyDescent="0.25">
      <c r="A65" s="119">
        <v>64</v>
      </c>
      <c r="B65" s="120" t="s">
        <v>70</v>
      </c>
      <c r="C65" s="216">
        <v>-3471275.48</v>
      </c>
      <c r="D65" s="220">
        <v>-3172864.55</v>
      </c>
      <c r="E65" s="221">
        <v>-2797883.81</v>
      </c>
      <c r="F65" s="221">
        <v>-2364549.0099999998</v>
      </c>
      <c r="G65" s="222">
        <v>-598204.63</v>
      </c>
      <c r="H65" s="227"/>
      <c r="I65" s="227"/>
      <c r="J65" s="227">
        <v>-66738.829999999987</v>
      </c>
      <c r="K65" s="227">
        <v>-2245807.5799999996</v>
      </c>
      <c r="L65" s="348">
        <v>-379837.41</v>
      </c>
      <c r="M65" s="378">
        <v>-351921.75</v>
      </c>
      <c r="N65" s="378">
        <v>-351921.75</v>
      </c>
      <c r="O65" s="378">
        <v>-2253271.63</v>
      </c>
      <c r="P65" s="423">
        <v>-2253271.63</v>
      </c>
      <c r="Q65" s="424">
        <v>-2242952.7799999998</v>
      </c>
      <c r="R65" s="424">
        <v>-2242952.7799999998</v>
      </c>
      <c r="S65" s="424">
        <v>-492726.8</v>
      </c>
      <c r="T65" s="460">
        <v>-425137</v>
      </c>
      <c r="U65" s="461">
        <v>-3768.51</v>
      </c>
      <c r="V65" s="461"/>
      <c r="W65" s="461"/>
      <c r="X65" s="51"/>
    </row>
    <row r="66" spans="1:24" ht="16.5" x14ac:dyDescent="0.25">
      <c r="A66" s="119">
        <v>65</v>
      </c>
      <c r="B66" s="120" t="s">
        <v>71</v>
      </c>
      <c r="C66" s="216">
        <v>-3333786.44</v>
      </c>
      <c r="D66" s="220">
        <v>-2212748.61</v>
      </c>
      <c r="E66" s="221">
        <v>-334348.15999999997</v>
      </c>
      <c r="F66" s="221">
        <v>-164583.76</v>
      </c>
      <c r="G66" s="222">
        <v>-141817.19</v>
      </c>
      <c r="H66" s="227"/>
      <c r="I66" s="227"/>
      <c r="J66" s="227">
        <v>-570217.69999999995</v>
      </c>
      <c r="K66" s="227">
        <v>-913392.81</v>
      </c>
      <c r="L66" s="348">
        <v>-3359419.8600000003</v>
      </c>
      <c r="M66" s="378">
        <v>-3359419.8600000003</v>
      </c>
      <c r="N66" s="378">
        <v>-5343595.84</v>
      </c>
      <c r="O66" s="378">
        <v>-2857164.08</v>
      </c>
      <c r="P66" s="423">
        <v>-632574.9</v>
      </c>
      <c r="Q66" s="424">
        <v>-374305.89</v>
      </c>
      <c r="R66" s="424">
        <v>-265419.28999999998</v>
      </c>
      <c r="S66" s="424">
        <v>-997218.77</v>
      </c>
      <c r="T66" s="460">
        <v>-249927.8</v>
      </c>
      <c r="U66" s="461">
        <v>-234664.8</v>
      </c>
      <c r="V66" s="461"/>
      <c r="W66" s="461"/>
      <c r="X66" s="51"/>
    </row>
    <row r="67" spans="1:24" ht="16.5" x14ac:dyDescent="0.25">
      <c r="A67" s="119">
        <v>66</v>
      </c>
      <c r="B67" s="120" t="s">
        <v>72</v>
      </c>
      <c r="C67" s="216">
        <v>-164736.48000000001</v>
      </c>
      <c r="D67" s="220">
        <v>-14991.74</v>
      </c>
      <c r="E67" s="221">
        <v>-1609.29</v>
      </c>
      <c r="F67" s="221">
        <v>-1609.29</v>
      </c>
      <c r="G67" s="222">
        <v>-2855796.73</v>
      </c>
      <c r="H67" s="227"/>
      <c r="I67" s="227"/>
      <c r="J67" s="227">
        <v>-436881.7</v>
      </c>
      <c r="K67" s="227">
        <v>-2171817.8199999998</v>
      </c>
      <c r="L67" s="348">
        <v>-632238.4</v>
      </c>
      <c r="M67" s="378">
        <v>-274587.83999999997</v>
      </c>
      <c r="N67" s="378">
        <v>-3562553.53</v>
      </c>
      <c r="O67" s="378">
        <v>-3542905.53</v>
      </c>
      <c r="P67" s="423">
        <v>-2939340.44</v>
      </c>
      <c r="Q67" s="424">
        <v>-821282.94</v>
      </c>
      <c r="R67" s="424">
        <v>-546587.30000000005</v>
      </c>
      <c r="S67" s="424">
        <v>-886151.11</v>
      </c>
      <c r="T67" s="460">
        <v>-828708.38</v>
      </c>
      <c r="U67" s="461">
        <v>-379918.77</v>
      </c>
      <c r="V67" s="461"/>
      <c r="W67" s="461"/>
      <c r="X67" s="51"/>
    </row>
    <row r="68" spans="1:24" ht="16.5" x14ac:dyDescent="0.25">
      <c r="A68" s="119">
        <v>67</v>
      </c>
      <c r="B68" s="120" t="s">
        <v>73</v>
      </c>
      <c r="C68" s="216">
        <v>-2252183.52</v>
      </c>
      <c r="D68" s="220">
        <v>-1853428.99</v>
      </c>
      <c r="E68" s="221">
        <v>-2475554.8199999998</v>
      </c>
      <c r="F68" s="221">
        <v>-7373232.6799999997</v>
      </c>
      <c r="G68" s="222">
        <v>-7962554.3399999999</v>
      </c>
      <c r="H68" s="227"/>
      <c r="I68" s="227"/>
      <c r="J68" s="227">
        <v>-499102.66</v>
      </c>
      <c r="K68" s="227">
        <v>-250277.41999999998</v>
      </c>
      <c r="L68" s="348">
        <v>-250277.41999999998</v>
      </c>
      <c r="M68" s="378">
        <v>-2606003.75</v>
      </c>
      <c r="N68" s="378">
        <v>-2573171.21</v>
      </c>
      <c r="O68" s="378">
        <v>-383150.39</v>
      </c>
      <c r="P68" s="423">
        <v>-192436.73</v>
      </c>
      <c r="Q68" s="424">
        <v>-192436.72999999998</v>
      </c>
      <c r="R68" s="424">
        <v>-192436.73</v>
      </c>
      <c r="S68" s="424">
        <v>-192436.7</v>
      </c>
      <c r="T68" s="460">
        <v>-192436.73</v>
      </c>
      <c r="U68" s="461">
        <v>-192436.73</v>
      </c>
      <c r="V68" s="461"/>
      <c r="W68" s="461"/>
      <c r="X68" s="51"/>
    </row>
    <row r="69" spans="1:24" ht="16.5" x14ac:dyDescent="0.25">
      <c r="A69" s="119">
        <v>68</v>
      </c>
      <c r="B69" s="120" t="s">
        <v>74</v>
      </c>
      <c r="C69" s="216">
        <v>-10354.549999999999</v>
      </c>
      <c r="D69" s="220">
        <v>-30745.35</v>
      </c>
      <c r="E69" s="221">
        <v>-983063.45</v>
      </c>
      <c r="F69" s="221">
        <v>-626951</v>
      </c>
      <c r="G69" s="222">
        <v>-73776.02</v>
      </c>
      <c r="H69" s="227"/>
      <c r="I69" s="227"/>
      <c r="J69" s="227">
        <v>-569882.81000000006</v>
      </c>
      <c r="K69" s="227">
        <v>-299934.56999999995</v>
      </c>
      <c r="L69" s="348">
        <v>-141075.94</v>
      </c>
      <c r="M69" s="378">
        <v>-141075.94</v>
      </c>
      <c r="N69" s="378">
        <v>-141075.94</v>
      </c>
      <c r="O69" s="378">
        <v>-58161.25</v>
      </c>
      <c r="P69" s="423">
        <v>-1226907.43</v>
      </c>
      <c r="Q69" s="424">
        <v>-1207918.8399999999</v>
      </c>
      <c r="R69" s="424">
        <v>-1162749.78</v>
      </c>
      <c r="S69" s="424">
        <v>-81622.37</v>
      </c>
      <c r="T69" s="460">
        <v>-3074.54</v>
      </c>
      <c r="U69" s="461">
        <v>-3074.54</v>
      </c>
      <c r="V69" s="461"/>
      <c r="W69" s="461"/>
      <c r="X69" s="51"/>
    </row>
    <row r="70" spans="1:24" ht="16.5" x14ac:dyDescent="0.25">
      <c r="A70" s="119">
        <v>69</v>
      </c>
      <c r="B70" s="120" t="s">
        <v>75</v>
      </c>
      <c r="C70" s="216">
        <v>-105550.97</v>
      </c>
      <c r="D70" s="220">
        <v>-122016.06</v>
      </c>
      <c r="E70" s="221">
        <v>-122016.06</v>
      </c>
      <c r="F70" s="221">
        <v>-122016.06</v>
      </c>
      <c r="G70" s="222">
        <v>-1148124.27</v>
      </c>
      <c r="H70" s="227"/>
      <c r="I70" s="227"/>
      <c r="J70" s="227">
        <v>-868209.92</v>
      </c>
      <c r="K70" s="227">
        <v>-468738.08999999997</v>
      </c>
      <c r="L70" s="348">
        <v>-54931.979999999996</v>
      </c>
      <c r="M70" s="378">
        <v>-27378.98</v>
      </c>
      <c r="N70" s="378">
        <v>-15690.45</v>
      </c>
      <c r="O70" s="378">
        <v>-15690.45</v>
      </c>
      <c r="P70" s="423">
        <v>-15690.45</v>
      </c>
      <c r="Q70" s="424">
        <v>-1853055.6299999997</v>
      </c>
      <c r="R70" s="424">
        <v>-902503.26</v>
      </c>
      <c r="S70" s="424">
        <v>-2743966.97</v>
      </c>
      <c r="T70" s="460">
        <v>-1187375.1399999999</v>
      </c>
      <c r="U70" s="461">
        <v>-211829.79</v>
      </c>
      <c r="V70" s="461"/>
      <c r="W70" s="461"/>
      <c r="X70" s="51"/>
    </row>
    <row r="71" spans="1:24" ht="16.5" x14ac:dyDescent="0.25">
      <c r="A71" s="119">
        <v>70</v>
      </c>
      <c r="B71" s="120" t="s">
        <v>76</v>
      </c>
      <c r="C71" s="216">
        <v>-3638036.76</v>
      </c>
      <c r="D71" s="220">
        <v>-1316578.21</v>
      </c>
      <c r="E71" s="221">
        <v>-381669.53</v>
      </c>
      <c r="F71" s="221">
        <v>-208665.87</v>
      </c>
      <c r="G71" s="222">
        <v>-105308.2</v>
      </c>
      <c r="H71" s="227"/>
      <c r="I71" s="227"/>
      <c r="J71" s="227">
        <v>-1480600.5</v>
      </c>
      <c r="K71" s="227">
        <v>-842823.4</v>
      </c>
      <c r="L71" s="348">
        <v>-110316.10999999999</v>
      </c>
      <c r="M71" s="378">
        <v>0</v>
      </c>
      <c r="N71" s="378">
        <v>0</v>
      </c>
      <c r="O71" s="378">
        <v>0</v>
      </c>
      <c r="P71" s="423">
        <v>0</v>
      </c>
      <c r="Q71" s="424">
        <v>0</v>
      </c>
      <c r="R71" s="424">
        <v>0</v>
      </c>
      <c r="S71" s="424">
        <v>-4530431.32</v>
      </c>
      <c r="T71" s="460">
        <v>-4305352.0999999996</v>
      </c>
      <c r="U71" s="461">
        <v>-288167.59999999998</v>
      </c>
      <c r="V71" s="461"/>
      <c r="W71" s="461"/>
      <c r="X71" s="51"/>
    </row>
    <row r="72" spans="1:24" ht="16.5" x14ac:dyDescent="0.25">
      <c r="A72" s="119">
        <v>71</v>
      </c>
      <c r="B72" s="120" t="s">
        <v>123</v>
      </c>
      <c r="C72" s="216">
        <v>-5333402.0999999996</v>
      </c>
      <c r="D72" s="220">
        <v>-334579.94</v>
      </c>
      <c r="E72" s="221">
        <v>0</v>
      </c>
      <c r="F72" s="221">
        <v>0</v>
      </c>
      <c r="G72" s="222">
        <v>0</v>
      </c>
      <c r="H72" s="227"/>
      <c r="I72" s="227"/>
      <c r="J72" s="227">
        <v>-407330.2</v>
      </c>
      <c r="K72" s="227">
        <v>-43377.229999999996</v>
      </c>
      <c r="L72" s="348">
        <v>-26810.52</v>
      </c>
      <c r="M72" s="378">
        <v>-26810.52</v>
      </c>
      <c r="N72" s="378">
        <v>-5519.6</v>
      </c>
      <c r="O72" s="378">
        <v>-5519.6</v>
      </c>
      <c r="P72" s="423">
        <v>-5519.6</v>
      </c>
      <c r="Q72" s="424">
        <v>-5519.5999999999995</v>
      </c>
      <c r="R72" s="424">
        <v>-5519.6</v>
      </c>
      <c r="S72" s="424">
        <v>-3925550.92</v>
      </c>
      <c r="T72" s="460">
        <v>-1293789.5900000001</v>
      </c>
      <c r="U72" s="461">
        <v>-1557548.72</v>
      </c>
      <c r="V72" s="461"/>
      <c r="W72" s="461"/>
      <c r="X72" s="51"/>
    </row>
    <row r="73" spans="1:24" ht="16.5" x14ac:dyDescent="0.25">
      <c r="A73" s="119">
        <v>72</v>
      </c>
      <c r="B73" s="120" t="s">
        <v>78</v>
      </c>
      <c r="C73" s="216">
        <v>-377901.44</v>
      </c>
      <c r="D73" s="220">
        <v>-347902.44</v>
      </c>
      <c r="E73" s="221">
        <v>-23943.82</v>
      </c>
      <c r="F73" s="221">
        <v>-2016.9</v>
      </c>
      <c r="G73" s="222">
        <v>-2016.9</v>
      </c>
      <c r="H73" s="227"/>
      <c r="I73" s="227"/>
      <c r="J73" s="227">
        <v>0</v>
      </c>
      <c r="K73" s="227">
        <v>0</v>
      </c>
      <c r="L73" s="348">
        <v>0</v>
      </c>
      <c r="M73" s="378">
        <v>0</v>
      </c>
      <c r="N73" s="378">
        <v>0</v>
      </c>
      <c r="O73" s="378">
        <v>0</v>
      </c>
      <c r="P73" s="423">
        <v>-1201924.93</v>
      </c>
      <c r="Q73" s="424">
        <v>-7044924.71</v>
      </c>
      <c r="R73" s="424">
        <v>-6476516.3200000003</v>
      </c>
      <c r="S73" s="424">
        <v>-6299457.3899999997</v>
      </c>
      <c r="T73" s="460">
        <v>-6295538.2300000004</v>
      </c>
      <c r="U73" s="461">
        <v>-530024.21</v>
      </c>
      <c r="V73" s="461"/>
      <c r="W73" s="461"/>
      <c r="X73" s="51"/>
    </row>
    <row r="74" spans="1:24" ht="16.5" x14ac:dyDescent="0.25">
      <c r="A74" s="119">
        <v>73</v>
      </c>
      <c r="B74" s="120" t="s">
        <v>79</v>
      </c>
      <c r="C74" s="216">
        <v>-118272.22</v>
      </c>
      <c r="D74" s="220">
        <v>-66040.350000000006</v>
      </c>
      <c r="E74" s="221">
        <v>-723274.45</v>
      </c>
      <c r="F74" s="221">
        <v>-466369.42</v>
      </c>
      <c r="G74" s="222">
        <v>-12343.16</v>
      </c>
      <c r="H74" s="227"/>
      <c r="I74" s="227"/>
      <c r="J74" s="227">
        <v>-3817853.71</v>
      </c>
      <c r="K74" s="227">
        <v>-2751075.59</v>
      </c>
      <c r="L74" s="348">
        <v>-1750416.2599999998</v>
      </c>
      <c r="M74" s="378">
        <v>-4179117.15</v>
      </c>
      <c r="N74" s="378">
        <v>-3112089.98</v>
      </c>
      <c r="O74" s="378">
        <v>-2688038.18</v>
      </c>
      <c r="P74" s="423">
        <v>-646463.15</v>
      </c>
      <c r="Q74" s="424">
        <v>-1828468.4099999997</v>
      </c>
      <c r="R74" s="424">
        <v>-1084969.07</v>
      </c>
      <c r="S74" s="424">
        <v>-1550559.25</v>
      </c>
      <c r="T74" s="460">
        <v>-3228768.04</v>
      </c>
      <c r="U74" s="461">
        <v>-2627604.85</v>
      </c>
      <c r="V74" s="461"/>
      <c r="W74" s="461"/>
      <c r="X74" s="51"/>
    </row>
    <row r="75" spans="1:24" ht="16.5" x14ac:dyDescent="0.25">
      <c r="A75" s="119">
        <v>74</v>
      </c>
      <c r="B75" s="120" t="s">
        <v>80</v>
      </c>
      <c r="C75" s="216">
        <v>-1164183.8899999999</v>
      </c>
      <c r="D75" s="220">
        <v>-906809.33</v>
      </c>
      <c r="E75" s="221">
        <v>-29451.1</v>
      </c>
      <c r="F75" s="221">
        <v>-30505.5</v>
      </c>
      <c r="G75" s="222">
        <v>-30505.5</v>
      </c>
      <c r="H75" s="227"/>
      <c r="I75" s="227"/>
      <c r="J75" s="227">
        <v>-3138249.6799999997</v>
      </c>
      <c r="K75" s="227">
        <v>-3114100.24</v>
      </c>
      <c r="L75" s="348">
        <v>-2999850.6799999997</v>
      </c>
      <c r="M75" s="378">
        <v>-1671068.13</v>
      </c>
      <c r="N75" s="378">
        <v>-4379359.17</v>
      </c>
      <c r="O75" s="378">
        <v>-2761824.47</v>
      </c>
      <c r="P75" s="423">
        <v>-382480.5</v>
      </c>
      <c r="Q75" s="424">
        <v>-367583.83999999997</v>
      </c>
      <c r="R75" s="424">
        <v>-367583.84</v>
      </c>
      <c r="S75" s="424">
        <v>-367583.8</v>
      </c>
      <c r="T75" s="460">
        <v>-337584.84</v>
      </c>
      <c r="U75" s="461">
        <v>-337575.32</v>
      </c>
      <c r="V75" s="461"/>
      <c r="W75" s="461"/>
      <c r="X75" s="51"/>
    </row>
    <row r="76" spans="1:24" ht="16.5" x14ac:dyDescent="0.25">
      <c r="A76" s="119">
        <v>75</v>
      </c>
      <c r="B76" s="120" t="s">
        <v>81</v>
      </c>
      <c r="C76" s="216">
        <v>-4811100.46</v>
      </c>
      <c r="D76" s="220">
        <v>-1476792.12</v>
      </c>
      <c r="E76" s="221">
        <v>-390571.87</v>
      </c>
      <c r="F76" s="221">
        <v>-224545.32</v>
      </c>
      <c r="G76" s="222">
        <v>-1626339.58</v>
      </c>
      <c r="H76" s="227"/>
      <c r="I76" s="227"/>
      <c r="J76" s="227">
        <v>-56806.77</v>
      </c>
      <c r="K76" s="227">
        <v>-15939.439999999999</v>
      </c>
      <c r="L76" s="348">
        <v>0</v>
      </c>
      <c r="M76" s="378">
        <v>-8108918.71</v>
      </c>
      <c r="N76" s="378">
        <v>-8108918.71</v>
      </c>
      <c r="O76" s="378">
        <v>-1633367.07</v>
      </c>
      <c r="P76" s="423">
        <v>-953938.65</v>
      </c>
      <c r="Q76" s="424">
        <v>-50471.74</v>
      </c>
      <c r="R76" s="424">
        <v>-22467.15</v>
      </c>
      <c r="S76" s="424">
        <v>-2988061.93</v>
      </c>
      <c r="T76" s="460">
        <v>-316172.48</v>
      </c>
      <c r="U76" s="461">
        <v>-2764897.63</v>
      </c>
      <c r="V76" s="461"/>
      <c r="W76" s="461"/>
      <c r="X76" s="51"/>
    </row>
    <row r="77" spans="1:24" ht="16.5" x14ac:dyDescent="0.25">
      <c r="A77" s="119">
        <v>76</v>
      </c>
      <c r="B77" s="120" t="s">
        <v>82</v>
      </c>
      <c r="C77" s="216">
        <v>-7484872.6600000001</v>
      </c>
      <c r="D77" s="220">
        <v>-3002658.59</v>
      </c>
      <c r="E77" s="221">
        <v>-637126.97</v>
      </c>
      <c r="F77" s="221">
        <v>-637126.97</v>
      </c>
      <c r="G77" s="222">
        <v>-135192.07999999999</v>
      </c>
      <c r="H77" s="227"/>
      <c r="I77" s="227"/>
      <c r="J77" s="227">
        <v>-669334.93999999994</v>
      </c>
      <c r="K77" s="227">
        <v>-700131.29</v>
      </c>
      <c r="L77" s="348">
        <v>-3579607.9699999997</v>
      </c>
      <c r="M77" s="378">
        <v>-3579607.9699999997</v>
      </c>
      <c r="N77" s="378">
        <v>-3573644.9</v>
      </c>
      <c r="O77" s="378">
        <v>-2017267.66</v>
      </c>
      <c r="P77" s="423">
        <v>-628239.43999999994</v>
      </c>
      <c r="Q77" s="424">
        <v>-2924319.53</v>
      </c>
      <c r="R77" s="424">
        <v>-2697524.95</v>
      </c>
      <c r="S77" s="424">
        <v>-2690055</v>
      </c>
      <c r="T77" s="460">
        <v>-47337.91</v>
      </c>
      <c r="U77" s="461">
        <v>-47337.91</v>
      </c>
      <c r="V77" s="461"/>
      <c r="W77" s="461"/>
      <c r="X77" s="51"/>
    </row>
    <row r="78" spans="1:24" ht="16.5" x14ac:dyDescent="0.25">
      <c r="A78" s="119">
        <v>77</v>
      </c>
      <c r="B78" s="120" t="s">
        <v>83</v>
      </c>
      <c r="C78" s="216">
        <v>-3235459.21</v>
      </c>
      <c r="D78" s="220">
        <v>-1523864.02</v>
      </c>
      <c r="E78" s="221">
        <v>-1269307.0900000001</v>
      </c>
      <c r="F78" s="221">
        <v>-8117894.4800000004</v>
      </c>
      <c r="G78" s="222">
        <v>-6703877.5499999998</v>
      </c>
      <c r="H78" s="227"/>
      <c r="I78" s="227"/>
      <c r="J78" s="227">
        <v>-4336736.629999999</v>
      </c>
      <c r="K78" s="227">
        <v>-4843494.87</v>
      </c>
      <c r="L78" s="348">
        <v>-2411617.9699999997</v>
      </c>
      <c r="M78" s="378">
        <v>-55958882.749999993</v>
      </c>
      <c r="N78" s="378">
        <v>-54874314.020000003</v>
      </c>
      <c r="O78" s="378">
        <v>-52580640.619999997</v>
      </c>
      <c r="P78" s="423">
        <v>-49029153.950000003</v>
      </c>
      <c r="Q78" s="424">
        <v>-41351644.519999996</v>
      </c>
      <c r="R78" s="424">
        <v>-37760714.079999998</v>
      </c>
      <c r="S78" s="424">
        <v>-37924775.829999998</v>
      </c>
      <c r="T78" s="460">
        <v>-32565181.190000001</v>
      </c>
      <c r="U78" s="461">
        <v>-29885761.219999999</v>
      </c>
      <c r="V78" s="461"/>
      <c r="W78" s="461"/>
      <c r="X78" s="51"/>
    </row>
    <row r="79" spans="1:24" ht="16.5" x14ac:dyDescent="0.25">
      <c r="A79" s="119">
        <v>78</v>
      </c>
      <c r="B79" s="120" t="s">
        <v>84</v>
      </c>
      <c r="C79" s="216">
        <v>-10305829.34</v>
      </c>
      <c r="D79" s="220">
        <v>-3275789.15</v>
      </c>
      <c r="E79" s="221">
        <v>-1849353.89</v>
      </c>
      <c r="F79" s="221">
        <v>-1246019.93</v>
      </c>
      <c r="G79" s="222">
        <v>-539237.97</v>
      </c>
      <c r="H79" s="227"/>
      <c r="I79" s="227"/>
      <c r="J79" s="227">
        <v>-8495920.5600000005</v>
      </c>
      <c r="K79" s="227">
        <v>-6817988.4299999997</v>
      </c>
      <c r="L79" s="348">
        <v>-1330268.47</v>
      </c>
      <c r="M79" s="378">
        <v>-883219.3</v>
      </c>
      <c r="N79" s="378">
        <v>-732497.05</v>
      </c>
      <c r="O79" s="378">
        <v>-2499379.79</v>
      </c>
      <c r="P79" s="423">
        <v>-1477937.43</v>
      </c>
      <c r="Q79" s="424">
        <v>-1087921.7599999998</v>
      </c>
      <c r="R79" s="424">
        <v>-916745.7</v>
      </c>
      <c r="S79" s="424">
        <v>-257497.2</v>
      </c>
      <c r="T79" s="460">
        <v>-217142.74</v>
      </c>
      <c r="U79" s="461">
        <v>-138124.69</v>
      </c>
      <c r="V79" s="461"/>
      <c r="W79" s="461"/>
      <c r="X79" s="51"/>
    </row>
    <row r="80" spans="1:24" ht="16.5" x14ac:dyDescent="0.25">
      <c r="A80" s="119">
        <v>79</v>
      </c>
      <c r="B80" s="120" t="s">
        <v>85</v>
      </c>
      <c r="C80" s="216">
        <v>-993940.78</v>
      </c>
      <c r="D80" s="220">
        <v>-439833.52</v>
      </c>
      <c r="E80" s="221">
        <v>-481981.52</v>
      </c>
      <c r="F80" s="221">
        <v>-476410.08</v>
      </c>
      <c r="G80" s="222">
        <v>-1872766.06</v>
      </c>
      <c r="H80" s="227"/>
      <c r="I80" s="227"/>
      <c r="J80" s="227">
        <v>-5711973.6699999999</v>
      </c>
      <c r="K80" s="227">
        <v>-2646190.3899999997</v>
      </c>
      <c r="L80" s="348">
        <v>-3226868.25</v>
      </c>
      <c r="M80" s="378">
        <v>-2104178.4799999995</v>
      </c>
      <c r="N80" s="378">
        <v>-1910269.54</v>
      </c>
      <c r="O80" s="378">
        <v>-1545622.52</v>
      </c>
      <c r="P80" s="423">
        <v>-856571.92</v>
      </c>
      <c r="Q80" s="424">
        <v>-672740.26</v>
      </c>
      <c r="R80" s="424">
        <v>-682165.26</v>
      </c>
      <c r="S80" s="424">
        <v>-601517.1</v>
      </c>
      <c r="T80" s="460">
        <v>-582387.89</v>
      </c>
      <c r="U80" s="461">
        <v>-23642.04</v>
      </c>
      <c r="V80" s="461"/>
      <c r="W80" s="461"/>
      <c r="X80" s="51"/>
    </row>
    <row r="81" spans="1:26" ht="16.5" x14ac:dyDescent="0.25">
      <c r="A81" s="119">
        <v>80</v>
      </c>
      <c r="B81" s="120" t="s">
        <v>86</v>
      </c>
      <c r="C81" s="216">
        <v>-335057.45</v>
      </c>
      <c r="D81" s="220">
        <v>-232772.63</v>
      </c>
      <c r="E81" s="221">
        <v>-913271.21</v>
      </c>
      <c r="F81" s="221">
        <v>-653121.43000000005</v>
      </c>
      <c r="G81" s="222">
        <v>-63093.120000000003</v>
      </c>
      <c r="H81" s="227"/>
      <c r="I81" s="227"/>
      <c r="J81" s="227">
        <v>-1243678.23</v>
      </c>
      <c r="K81" s="227">
        <v>-1064798.25</v>
      </c>
      <c r="L81" s="348">
        <v>-229723.75</v>
      </c>
      <c r="M81" s="378">
        <v>-1828081.65</v>
      </c>
      <c r="N81" s="378">
        <v>-5927513.9400000004</v>
      </c>
      <c r="O81" s="378">
        <v>-3616849.25</v>
      </c>
      <c r="P81" s="423">
        <v>-540533.38</v>
      </c>
      <c r="Q81" s="424">
        <v>-50143.07</v>
      </c>
      <c r="R81" s="424">
        <v>-50143.07</v>
      </c>
      <c r="S81" s="424">
        <v>-727718.01</v>
      </c>
      <c r="T81" s="460">
        <v>-727718.01</v>
      </c>
      <c r="U81" s="461">
        <v>-60199.05</v>
      </c>
      <c r="V81" s="461"/>
      <c r="W81" s="461"/>
      <c r="X81" s="51"/>
    </row>
    <row r="82" spans="1:26" ht="16.5" x14ac:dyDescent="0.25">
      <c r="A82" s="119">
        <v>81</v>
      </c>
      <c r="B82" s="120" t="s">
        <v>87</v>
      </c>
      <c r="C82" s="216">
        <v>-1010424.39</v>
      </c>
      <c r="D82" s="220">
        <v>-367322.97</v>
      </c>
      <c r="E82" s="221">
        <v>-2030587.33</v>
      </c>
      <c r="F82" s="221">
        <v>-1941467.82</v>
      </c>
      <c r="G82" s="222">
        <v>-1941466.82</v>
      </c>
      <c r="H82" s="227"/>
      <c r="I82" s="227"/>
      <c r="J82" s="227">
        <v>-4234914.6899999995</v>
      </c>
      <c r="K82" s="227">
        <v>-941703.52</v>
      </c>
      <c r="L82" s="348">
        <v>-217720.62999999998</v>
      </c>
      <c r="M82" s="378">
        <v>0</v>
      </c>
      <c r="N82" s="378">
        <v>0</v>
      </c>
      <c r="O82" s="378">
        <v>0</v>
      </c>
      <c r="P82" s="423">
        <v>0</v>
      </c>
      <c r="Q82" s="424">
        <v>0</v>
      </c>
      <c r="R82" s="424">
        <v>0</v>
      </c>
      <c r="S82" s="424">
        <v>-73014.720000000001</v>
      </c>
      <c r="T82" s="460">
        <v>-52974.74</v>
      </c>
      <c r="U82" s="461">
        <v>-11194512.289999999</v>
      </c>
      <c r="V82" s="461"/>
      <c r="W82" s="461"/>
      <c r="X82" s="51"/>
    </row>
    <row r="83" spans="1:26" ht="16.5" x14ac:dyDescent="0.25">
      <c r="A83" s="119">
        <v>82</v>
      </c>
      <c r="B83" s="120" t="s">
        <v>88</v>
      </c>
      <c r="C83" s="216">
        <v>-987166.84</v>
      </c>
      <c r="D83" s="220">
        <v>-1839738.61</v>
      </c>
      <c r="E83" s="221">
        <v>-1667958.29</v>
      </c>
      <c r="F83" s="221">
        <v>-2846520.13</v>
      </c>
      <c r="G83" s="222">
        <v>-2003186.51</v>
      </c>
      <c r="H83" s="227"/>
      <c r="I83" s="227"/>
      <c r="J83" s="227">
        <v>-125910.50999999998</v>
      </c>
      <c r="K83" s="227">
        <v>-3467211.78</v>
      </c>
      <c r="L83" s="348">
        <v>-1834519.9899999998</v>
      </c>
      <c r="M83" s="378">
        <v>-6326053.2799999993</v>
      </c>
      <c r="N83" s="378">
        <v>-6365933.2800000003</v>
      </c>
      <c r="O83" s="378">
        <v>-4895303.8099999996</v>
      </c>
      <c r="P83" s="423">
        <v>-1211250.6599999999</v>
      </c>
      <c r="Q83" s="424">
        <v>-1198156.96</v>
      </c>
      <c r="R83" s="424">
        <v>-431535.44</v>
      </c>
      <c r="S83" s="424">
        <v>-3558967.99</v>
      </c>
      <c r="T83" s="460">
        <v>-810170.89</v>
      </c>
      <c r="U83" s="461">
        <v>-4441514.58</v>
      </c>
      <c r="V83" s="461"/>
      <c r="W83" s="461"/>
      <c r="X83" s="51"/>
    </row>
    <row r="84" spans="1:26" ht="16.5" x14ac:dyDescent="0.25">
      <c r="A84" s="119">
        <v>83</v>
      </c>
      <c r="B84" s="120" t="s">
        <v>89</v>
      </c>
      <c r="C84" s="216">
        <v>-1223378.72</v>
      </c>
      <c r="D84" s="220">
        <v>-656199.06000000006</v>
      </c>
      <c r="E84" s="221">
        <v>-187035.53</v>
      </c>
      <c r="F84" s="221">
        <v>-167968.46</v>
      </c>
      <c r="G84" s="222">
        <v>-155487.23000000001</v>
      </c>
      <c r="H84" s="227"/>
      <c r="I84" s="227"/>
      <c r="J84" s="227">
        <v>-1180870.68</v>
      </c>
      <c r="K84" s="227">
        <v>-636103.03</v>
      </c>
      <c r="L84" s="348">
        <v>0</v>
      </c>
      <c r="M84" s="378">
        <v>0</v>
      </c>
      <c r="N84" s="378">
        <v>-4330005.08</v>
      </c>
      <c r="O84" s="378">
        <v>-4330005.08</v>
      </c>
      <c r="P84" s="423">
        <v>-3833103.18</v>
      </c>
      <c r="Q84" s="424">
        <v>-3986709.7199999997</v>
      </c>
      <c r="R84" s="424">
        <v>-3986709.72</v>
      </c>
      <c r="S84" s="424">
        <v>-861283.4</v>
      </c>
      <c r="T84" s="460">
        <v>-603011.38</v>
      </c>
      <c r="U84" s="461">
        <v>-603011.38</v>
      </c>
      <c r="V84" s="461"/>
      <c r="W84" s="461"/>
      <c r="X84" s="51"/>
    </row>
    <row r="85" spans="1:26" ht="16.5" x14ac:dyDescent="0.25">
      <c r="A85" s="119">
        <v>84</v>
      </c>
      <c r="B85" s="120" t="s">
        <v>90</v>
      </c>
      <c r="C85" s="216">
        <v>-2064541.1</v>
      </c>
      <c r="D85" s="220">
        <v>-333036.78000000003</v>
      </c>
      <c r="E85" s="221">
        <v>-323948.78000000003</v>
      </c>
      <c r="F85" s="221">
        <v>-1798110.53</v>
      </c>
      <c r="G85" s="222">
        <v>-260494.93</v>
      </c>
      <c r="H85" s="227"/>
      <c r="I85" s="227"/>
      <c r="J85" s="227">
        <v>-8734.07</v>
      </c>
      <c r="K85" s="227">
        <v>-1408715.5799999998</v>
      </c>
      <c r="L85" s="348">
        <v>-5569805.71</v>
      </c>
      <c r="M85" s="378">
        <v>-7516001.7199999997</v>
      </c>
      <c r="N85" s="378">
        <v>-10891607.07</v>
      </c>
      <c r="O85" s="378">
        <v>-4714209.03</v>
      </c>
      <c r="P85" s="423">
        <v>-1467564.03</v>
      </c>
      <c r="Q85" s="424">
        <v>-470993.91</v>
      </c>
      <c r="R85" s="424">
        <v>-316217.76</v>
      </c>
      <c r="S85" s="424">
        <v>-3104428.28</v>
      </c>
      <c r="T85" s="460">
        <v>-1904656.78</v>
      </c>
      <c r="U85" s="461">
        <v>-1072962.6000000001</v>
      </c>
      <c r="V85" s="461"/>
      <c r="W85" s="461"/>
      <c r="X85" s="51"/>
    </row>
    <row r="86" spans="1:26" ht="16.5" x14ac:dyDescent="0.25">
      <c r="A86" s="119">
        <v>85</v>
      </c>
      <c r="B86" s="120" t="s">
        <v>91</v>
      </c>
      <c r="C86" s="216">
        <v>-50520.37</v>
      </c>
      <c r="D86" s="220">
        <v>-23548.6</v>
      </c>
      <c r="E86" s="221">
        <v>-503732.21</v>
      </c>
      <c r="F86" s="221">
        <v>-1087278.6299999999</v>
      </c>
      <c r="G86" s="222">
        <v>-956913.89</v>
      </c>
      <c r="H86" s="227"/>
      <c r="I86" s="227"/>
      <c r="J86" s="227">
        <v>-3819623.6799999997</v>
      </c>
      <c r="K86" s="227">
        <v>-3818573.02</v>
      </c>
      <c r="L86" s="348">
        <v>-902426.35</v>
      </c>
      <c r="M86" s="378">
        <v>-1101669.6599999999</v>
      </c>
      <c r="N86" s="378">
        <v>-2327294.6</v>
      </c>
      <c r="O86" s="378">
        <v>-1579830.25</v>
      </c>
      <c r="P86" s="423">
        <v>-225380.61</v>
      </c>
      <c r="Q86" s="424">
        <v>-92108.17</v>
      </c>
      <c r="R86" s="424">
        <v>-92108.17</v>
      </c>
      <c r="S86" s="424">
        <v>-3640886.4</v>
      </c>
      <c r="T86" s="460">
        <v>-1772138.87</v>
      </c>
      <c r="U86" s="461">
        <v>-877049.04</v>
      </c>
      <c r="V86" s="461"/>
      <c r="W86" s="461"/>
      <c r="X86" s="51"/>
    </row>
    <row r="87" spans="1:26" ht="16.5" x14ac:dyDescent="0.25">
      <c r="A87" s="119">
        <v>86</v>
      </c>
      <c r="B87" s="120" t="s">
        <v>92</v>
      </c>
      <c r="C87" s="216">
        <v>-5498648.0599999996</v>
      </c>
      <c r="D87" s="220">
        <v>-4525940.6100000003</v>
      </c>
      <c r="E87" s="221">
        <v>-3282393.64</v>
      </c>
      <c r="F87" s="221">
        <v>-401259.87</v>
      </c>
      <c r="G87" s="222">
        <v>-1756413.25</v>
      </c>
      <c r="H87" s="227"/>
      <c r="I87" s="227"/>
      <c r="J87" s="227">
        <v>-2770986.1799999997</v>
      </c>
      <c r="K87" s="227">
        <v>-2769577.1099999994</v>
      </c>
      <c r="L87" s="348">
        <v>-2699367.51</v>
      </c>
      <c r="M87" s="378">
        <v>-1941423.0699999998</v>
      </c>
      <c r="N87" s="378">
        <v>-1933178.07</v>
      </c>
      <c r="O87" s="378">
        <v>-1490589.52</v>
      </c>
      <c r="P87" s="423">
        <v>-687272.19</v>
      </c>
      <c r="Q87" s="424">
        <v>-45790.65</v>
      </c>
      <c r="R87" s="424">
        <v>-45790.65</v>
      </c>
      <c r="S87" s="424">
        <v>-36489.65</v>
      </c>
      <c r="T87" s="460">
        <v>-36489.65</v>
      </c>
      <c r="U87" s="461">
        <v>0</v>
      </c>
      <c r="V87" s="461"/>
      <c r="W87" s="461"/>
      <c r="X87" s="51"/>
    </row>
    <row r="88" spans="1:26" ht="16.5" x14ac:dyDescent="0.25">
      <c r="A88" s="119">
        <v>87</v>
      </c>
      <c r="B88" s="120" t="s">
        <v>93</v>
      </c>
      <c r="C88" s="216">
        <v>-1452437.34</v>
      </c>
      <c r="D88" s="220">
        <v>-707018.57</v>
      </c>
      <c r="E88" s="221">
        <v>-340424.96000000002</v>
      </c>
      <c r="F88" s="221">
        <v>-340424.96000000002</v>
      </c>
      <c r="G88" s="222">
        <v>-120449.91</v>
      </c>
      <c r="H88" s="227"/>
      <c r="I88" s="227"/>
      <c r="J88" s="227">
        <v>-18939.060000000001</v>
      </c>
      <c r="K88" s="227">
        <v>-18939.060000000001</v>
      </c>
      <c r="L88" s="348">
        <v>-71298.880000000005</v>
      </c>
      <c r="M88" s="378">
        <v>-2138391.5699999998</v>
      </c>
      <c r="N88" s="378">
        <v>-1761419.1</v>
      </c>
      <c r="O88" s="378">
        <v>-648312.82999999996</v>
      </c>
      <c r="P88" s="423">
        <v>-254041.28</v>
      </c>
      <c r="Q88" s="424">
        <v>-119694.84</v>
      </c>
      <c r="R88" s="424">
        <v>-95594.84</v>
      </c>
      <c r="S88" s="424">
        <v>-2601000.73</v>
      </c>
      <c r="T88" s="460">
        <v>-1315029.6000000001</v>
      </c>
      <c r="U88" s="461">
        <v>-100989.1</v>
      </c>
      <c r="V88" s="461"/>
      <c r="W88" s="461"/>
      <c r="X88" s="51"/>
    </row>
    <row r="89" spans="1:26" ht="16.5" x14ac:dyDescent="0.25">
      <c r="A89" s="119">
        <v>88</v>
      </c>
      <c r="B89" s="120" t="s">
        <v>94</v>
      </c>
      <c r="C89" s="216">
        <v>-44472.76</v>
      </c>
      <c r="D89" s="220">
        <v>-38895.26</v>
      </c>
      <c r="E89" s="221">
        <v>-432944.03</v>
      </c>
      <c r="F89" s="221">
        <v>-396957.86</v>
      </c>
      <c r="G89" s="222">
        <v>0</v>
      </c>
      <c r="H89" s="227"/>
      <c r="I89" s="227"/>
      <c r="J89" s="227">
        <v>-1019629.61</v>
      </c>
      <c r="K89" s="227">
        <v>-1032962.69</v>
      </c>
      <c r="L89" s="348">
        <v>-1073622.69</v>
      </c>
      <c r="M89" s="378">
        <v>-1073622.69</v>
      </c>
      <c r="N89" s="378">
        <v>-1073622.69</v>
      </c>
      <c r="O89" s="378">
        <v>-1073622.69</v>
      </c>
      <c r="P89" s="423">
        <v>-1073622.69</v>
      </c>
      <c r="Q89" s="424">
        <v>-1073622.69</v>
      </c>
      <c r="R89" s="424">
        <v>-40660</v>
      </c>
      <c r="S89" s="424">
        <v>-99452.34</v>
      </c>
      <c r="T89" s="460">
        <v>-93532.27</v>
      </c>
      <c r="U89" s="461">
        <v>-542984.5</v>
      </c>
      <c r="V89" s="461"/>
      <c r="W89" s="461"/>
      <c r="X89" s="51"/>
    </row>
    <row r="90" spans="1:26" ht="16.5" x14ac:dyDescent="0.25">
      <c r="A90" s="119">
        <v>89</v>
      </c>
      <c r="B90" s="120" t="s">
        <v>95</v>
      </c>
      <c r="C90" s="216">
        <v>-2984289.54</v>
      </c>
      <c r="D90" s="220">
        <v>-2936353.11</v>
      </c>
      <c r="E90" s="221">
        <v>-3972688.2</v>
      </c>
      <c r="F90" s="221">
        <v>-3971235.12</v>
      </c>
      <c r="G90" s="222">
        <v>-4141637.61</v>
      </c>
      <c r="H90" s="227"/>
      <c r="I90" s="227"/>
      <c r="J90" s="227">
        <v>-95978.12999999999</v>
      </c>
      <c r="K90" s="227">
        <v>-167082.93</v>
      </c>
      <c r="L90" s="348">
        <v>-100720.67</v>
      </c>
      <c r="M90" s="378">
        <v>-100720.67</v>
      </c>
      <c r="N90" s="378">
        <v>-5300507.38</v>
      </c>
      <c r="O90" s="378">
        <v>-269754.34000000003</v>
      </c>
      <c r="P90" s="423">
        <v>-156699.60999999999</v>
      </c>
      <c r="Q90" s="424">
        <v>-132060.57999999999</v>
      </c>
      <c r="R90" s="424">
        <v>-130560.58</v>
      </c>
      <c r="S90" s="424">
        <v>-71844.61</v>
      </c>
      <c r="T90" s="460">
        <v>-19947.580000000002</v>
      </c>
      <c r="U90" s="461">
        <v>0</v>
      </c>
      <c r="V90" s="461"/>
      <c r="W90" s="461"/>
      <c r="X90" s="51"/>
    </row>
    <row r="91" spans="1:26" ht="16.5" x14ac:dyDescent="0.25">
      <c r="A91" s="119">
        <v>90</v>
      </c>
      <c r="B91" s="120" t="s">
        <v>96</v>
      </c>
      <c r="C91" s="216">
        <v>-126892.09</v>
      </c>
      <c r="D91" s="220">
        <v>-123238.47</v>
      </c>
      <c r="E91" s="221">
        <v>-440518.26</v>
      </c>
      <c r="F91" s="221">
        <v>-440518.26</v>
      </c>
      <c r="G91" s="222">
        <v>-431894.96</v>
      </c>
      <c r="H91" s="227"/>
      <c r="I91" s="227"/>
      <c r="J91" s="227">
        <v>-31019.17</v>
      </c>
      <c r="K91" s="227">
        <v>-254182.95</v>
      </c>
      <c r="L91" s="348">
        <v>-912092.42</v>
      </c>
      <c r="M91" s="378">
        <v>-1181572.5699999998</v>
      </c>
      <c r="N91" s="378">
        <v>-1048152.34</v>
      </c>
      <c r="O91" s="378">
        <v>-628444.84</v>
      </c>
      <c r="P91" s="423">
        <v>-376465.84</v>
      </c>
      <c r="Q91" s="424">
        <v>-247643.13</v>
      </c>
      <c r="R91" s="424">
        <v>-215282.28</v>
      </c>
      <c r="S91" s="424">
        <v>-887120.75</v>
      </c>
      <c r="T91" s="460">
        <v>-880912.75</v>
      </c>
      <c r="U91" s="461">
        <v>-843984.82</v>
      </c>
      <c r="V91" s="461"/>
      <c r="W91" s="461"/>
      <c r="X91" s="51"/>
    </row>
    <row r="92" spans="1:26" ht="16.5" x14ac:dyDescent="0.25">
      <c r="A92" s="119">
        <v>91</v>
      </c>
      <c r="B92" s="120" t="s">
        <v>97</v>
      </c>
      <c r="C92" s="216">
        <v>-1813335.81</v>
      </c>
      <c r="D92" s="220">
        <v>-258469.19</v>
      </c>
      <c r="E92" s="221">
        <v>-843863.27</v>
      </c>
      <c r="F92" s="221">
        <v>-702274.62</v>
      </c>
      <c r="G92" s="222">
        <v>-657693.28</v>
      </c>
      <c r="H92" s="227"/>
      <c r="I92" s="227"/>
      <c r="J92" s="227">
        <v>-953885.62</v>
      </c>
      <c r="K92" s="227">
        <v>-22630.25</v>
      </c>
      <c r="L92" s="348">
        <v>-21010.25</v>
      </c>
      <c r="M92" s="378">
        <v>-2877048.86</v>
      </c>
      <c r="N92" s="378">
        <v>-2877048.86</v>
      </c>
      <c r="O92" s="378">
        <v>-2422944.12</v>
      </c>
      <c r="P92" s="423">
        <v>-2030767.7</v>
      </c>
      <c r="Q92" s="424">
        <v>-334808.38</v>
      </c>
      <c r="R92" s="424">
        <v>-313798.13</v>
      </c>
      <c r="S92" s="424">
        <v>-313798.09999999998</v>
      </c>
      <c r="T92" s="460">
        <v>-303474.05</v>
      </c>
      <c r="U92" s="461">
        <v>0</v>
      </c>
      <c r="V92" s="461"/>
      <c r="W92" s="461"/>
      <c r="X92" s="51"/>
    </row>
    <row r="93" spans="1:26" ht="16.5" x14ac:dyDescent="0.25">
      <c r="A93" s="119">
        <v>92</v>
      </c>
      <c r="B93" s="120" t="s">
        <v>98</v>
      </c>
      <c r="C93" s="216">
        <v>-1166086.28</v>
      </c>
      <c r="D93" s="220">
        <v>-1183598.96</v>
      </c>
      <c r="E93" s="221">
        <v>-864629.77</v>
      </c>
      <c r="F93" s="221">
        <v>-4398597.2699999996</v>
      </c>
      <c r="G93" s="222">
        <v>-3942765.33</v>
      </c>
      <c r="H93" s="227"/>
      <c r="I93" s="227"/>
      <c r="J93" s="227">
        <v>-528090.78</v>
      </c>
      <c r="K93" s="227">
        <v>-1303429.3600000001</v>
      </c>
      <c r="L93" s="348">
        <v>-893311.42484800005</v>
      </c>
      <c r="M93" s="378">
        <v>-83727.459999999992</v>
      </c>
      <c r="N93" s="378">
        <v>-64433.3</v>
      </c>
      <c r="O93" s="378">
        <v>-64433.3</v>
      </c>
      <c r="P93" s="423">
        <v>-1113338.52</v>
      </c>
      <c r="Q93" s="424">
        <v>-1602331.6199999999</v>
      </c>
      <c r="R93" s="424">
        <v>-1624831.62</v>
      </c>
      <c r="S93" s="424">
        <v>-4133749.06</v>
      </c>
      <c r="T93" s="460">
        <v>-1960443.13</v>
      </c>
      <c r="U93" s="461">
        <v>-1235445.57</v>
      </c>
      <c r="V93" s="461"/>
      <c r="W93" s="461"/>
      <c r="X93" s="51"/>
    </row>
    <row r="94" spans="1:26" ht="16.5" x14ac:dyDescent="0.25">
      <c r="A94" s="119">
        <v>93</v>
      </c>
      <c r="B94" s="120" t="s">
        <v>99</v>
      </c>
      <c r="C94" s="216">
        <v>-1025376.74</v>
      </c>
      <c r="D94" s="220">
        <v>-949337.16</v>
      </c>
      <c r="E94" s="221">
        <v>-99349.31</v>
      </c>
      <c r="F94" s="221">
        <v>967.4</v>
      </c>
      <c r="G94" s="222">
        <v>-40958.620000000003</v>
      </c>
      <c r="H94" s="227"/>
      <c r="I94" s="227"/>
      <c r="J94" s="227">
        <v>-1290191.3299999998</v>
      </c>
      <c r="K94" s="227">
        <v>-1294616.7199999997</v>
      </c>
      <c r="L94" s="348">
        <v>-3127008.07</v>
      </c>
      <c r="M94" s="378">
        <v>-2881826.13</v>
      </c>
      <c r="N94" s="378">
        <v>-2656660.69</v>
      </c>
      <c r="O94" s="378">
        <v>-329579.26</v>
      </c>
      <c r="P94" s="423">
        <v>-90291.3</v>
      </c>
      <c r="Q94" s="424">
        <v>-72321.59</v>
      </c>
      <c r="R94" s="424">
        <v>-72321.59</v>
      </c>
      <c r="S94" s="424">
        <v>-280666.84999999998</v>
      </c>
      <c r="T94" s="460">
        <v>-72321.59</v>
      </c>
      <c r="U94" s="461">
        <v>-72321.59</v>
      </c>
      <c r="V94" s="461"/>
      <c r="W94" s="461"/>
      <c r="X94" s="51"/>
      <c r="Z94" s="51"/>
    </row>
    <row r="95" spans="1:26" ht="16.5" x14ac:dyDescent="0.25">
      <c r="A95" s="119">
        <v>94</v>
      </c>
      <c r="B95" s="120" t="s">
        <v>100</v>
      </c>
      <c r="C95" s="216">
        <v>-2648378.5299999998</v>
      </c>
      <c r="D95" s="220">
        <v>-38594.879999999997</v>
      </c>
      <c r="E95" s="221">
        <v>-672554.9</v>
      </c>
      <c r="F95" s="221">
        <v>-672554.9</v>
      </c>
      <c r="G95" s="222">
        <v>-2434035.7799999998</v>
      </c>
      <c r="H95" s="227"/>
      <c r="I95" s="227"/>
      <c r="J95" s="227">
        <v>-2832849.47</v>
      </c>
      <c r="K95" s="227">
        <v>-2850326.4800000004</v>
      </c>
      <c r="L95" s="348">
        <v>-794949.45</v>
      </c>
      <c r="M95" s="378">
        <v>-3483884.3000000003</v>
      </c>
      <c r="N95" s="378">
        <v>-3478488.52</v>
      </c>
      <c r="O95" s="378">
        <v>-298828.43</v>
      </c>
      <c r="P95" s="423">
        <v>-246606.87</v>
      </c>
      <c r="Q95" s="424">
        <v>-226859.97999999998</v>
      </c>
      <c r="R95" s="424">
        <v>-226859.98</v>
      </c>
      <c r="S95" s="424">
        <v>-3060890.2</v>
      </c>
      <c r="T95" s="460">
        <v>-301943.34000000003</v>
      </c>
      <c r="U95" s="461">
        <v>-78095.56</v>
      </c>
      <c r="V95" s="461"/>
      <c r="W95" s="461"/>
      <c r="X95" s="51"/>
      <c r="Z95" s="64"/>
    </row>
    <row r="96" spans="1:26" ht="16.5" x14ac:dyDescent="0.25">
      <c r="A96" s="119">
        <v>95</v>
      </c>
      <c r="B96" s="120" t="s">
        <v>101</v>
      </c>
      <c r="C96" s="216">
        <v>-3882192</v>
      </c>
      <c r="D96" s="220">
        <v>-2869716.97</v>
      </c>
      <c r="E96" s="221">
        <v>-255145.69</v>
      </c>
      <c r="F96" s="221">
        <v>-255145.69</v>
      </c>
      <c r="G96" s="222">
        <v>-18708.97</v>
      </c>
      <c r="H96" s="227"/>
      <c r="I96" s="227"/>
      <c r="J96" s="227">
        <v>-187276.5</v>
      </c>
      <c r="K96" s="227">
        <v>-1865481.1399999997</v>
      </c>
      <c r="L96" s="348">
        <v>-1367386.0699999998</v>
      </c>
      <c r="M96" s="378">
        <v>-1294108.1399999999</v>
      </c>
      <c r="N96" s="378">
        <v>-1284478.07</v>
      </c>
      <c r="O96" s="378">
        <v>-1745677.07</v>
      </c>
      <c r="P96" s="423">
        <v>-461199</v>
      </c>
      <c r="Q96" s="424">
        <v>-71072.28</v>
      </c>
      <c r="R96" s="424">
        <v>-3011.72</v>
      </c>
      <c r="S96" s="424">
        <v>0</v>
      </c>
      <c r="T96" s="460">
        <v>0</v>
      </c>
      <c r="U96" s="461">
        <v>0</v>
      </c>
      <c r="V96" s="461"/>
      <c r="W96" s="461"/>
      <c r="X96" s="51"/>
    </row>
    <row r="97" spans="1:24" ht="16.5" x14ac:dyDescent="0.25">
      <c r="A97" s="119">
        <v>96</v>
      </c>
      <c r="B97" s="120" t="s">
        <v>102</v>
      </c>
      <c r="C97" s="216">
        <v>-1723726.4</v>
      </c>
      <c r="D97" s="220">
        <v>-1001.72</v>
      </c>
      <c r="E97" s="221">
        <v>-1001.72</v>
      </c>
      <c r="F97" s="221">
        <v>0</v>
      </c>
      <c r="G97" s="222">
        <v>0</v>
      </c>
      <c r="H97" s="227"/>
      <c r="I97" s="227"/>
      <c r="J97" s="227">
        <v>-3996573.8699999996</v>
      </c>
      <c r="K97" s="227">
        <v>-5601424.1899999995</v>
      </c>
      <c r="L97" s="348">
        <v>-5408220.6500000004</v>
      </c>
      <c r="M97" s="378">
        <v>-4906665.41</v>
      </c>
      <c r="N97" s="378">
        <v>-4892647.6900000004</v>
      </c>
      <c r="O97" s="378">
        <v>-2466389.5699999998</v>
      </c>
      <c r="P97" s="423">
        <v>-1809730.74</v>
      </c>
      <c r="Q97" s="424">
        <v>-1811156.71</v>
      </c>
      <c r="R97" s="424">
        <v>-1805391.84</v>
      </c>
      <c r="S97" s="424">
        <v>-5135088.93</v>
      </c>
      <c r="T97" s="460">
        <v>-4655302.78</v>
      </c>
      <c r="U97" s="461">
        <v>-361007.18</v>
      </c>
      <c r="V97" s="461"/>
      <c r="W97" s="461"/>
      <c r="X97" s="51"/>
    </row>
    <row r="98" spans="1:24" ht="16.5" x14ac:dyDescent="0.25">
      <c r="A98" s="119">
        <v>97</v>
      </c>
      <c r="B98" s="120" t="s">
        <v>103</v>
      </c>
      <c r="C98" s="216">
        <v>-2968974.74</v>
      </c>
      <c r="D98" s="220">
        <v>-1292289.72</v>
      </c>
      <c r="E98" s="221">
        <v>-210093.89</v>
      </c>
      <c r="F98" s="221">
        <v>-1751293.95</v>
      </c>
      <c r="G98" s="222">
        <v>-1671932.53</v>
      </c>
      <c r="H98" s="227"/>
      <c r="I98" s="227"/>
      <c r="J98" s="227">
        <v>-2646405.0099999998</v>
      </c>
      <c r="K98" s="227">
        <v>-7740273.2799999993</v>
      </c>
      <c r="L98" s="348">
        <v>-6188452.8300000001</v>
      </c>
      <c r="M98" s="378">
        <v>-5429615.4000000004</v>
      </c>
      <c r="N98" s="378">
        <v>-6007773.8799999999</v>
      </c>
      <c r="O98" s="378">
        <v>-4053202.59</v>
      </c>
      <c r="P98" s="423">
        <v>-1489099.38</v>
      </c>
      <c r="Q98" s="424">
        <v>-710122.48</v>
      </c>
      <c r="R98" s="424">
        <v>-643166.81999999995</v>
      </c>
      <c r="S98" s="424">
        <v>-1037510.61</v>
      </c>
      <c r="T98" s="460">
        <v>-503158.23</v>
      </c>
      <c r="U98" s="461">
        <v>-4014423.83</v>
      </c>
      <c r="V98" s="461"/>
      <c r="W98" s="461"/>
      <c r="X98" s="51"/>
    </row>
    <row r="99" spans="1:24" ht="16.5" x14ac:dyDescent="0.25">
      <c r="A99" s="119">
        <v>98</v>
      </c>
      <c r="B99" s="120" t="s">
        <v>112</v>
      </c>
      <c r="C99" s="216">
        <v>-933649.69</v>
      </c>
      <c r="D99" s="220">
        <v>-749777.22</v>
      </c>
      <c r="E99" s="221">
        <v>-698686.13</v>
      </c>
      <c r="F99" s="221">
        <v>-772930.13</v>
      </c>
      <c r="G99" s="222">
        <v>-1308171.23</v>
      </c>
      <c r="H99" s="227"/>
      <c r="I99" s="227"/>
      <c r="J99" s="227">
        <v>-903807.4</v>
      </c>
      <c r="K99" s="227">
        <v>-1783045.0999999999</v>
      </c>
      <c r="L99" s="348">
        <v>-907318.8</v>
      </c>
      <c r="M99" s="378">
        <v>-707882.15</v>
      </c>
      <c r="N99" s="378">
        <v>-2598533.6</v>
      </c>
      <c r="O99" s="378">
        <v>-2595680.1</v>
      </c>
      <c r="P99" s="423">
        <v>-1621265.92</v>
      </c>
      <c r="Q99" s="424">
        <v>-1618652.7999999998</v>
      </c>
      <c r="R99" s="424">
        <v>-136458.67000000001</v>
      </c>
      <c r="S99" s="424">
        <v>-1549078.74</v>
      </c>
      <c r="T99" s="460">
        <v>-594377.77</v>
      </c>
      <c r="U99" s="461">
        <v>-420649.93</v>
      </c>
      <c r="V99" s="461"/>
      <c r="W99" s="461"/>
      <c r="X99" s="51"/>
    </row>
    <row r="100" spans="1:24" ht="16.5" x14ac:dyDescent="0.25">
      <c r="A100" s="119">
        <v>99</v>
      </c>
      <c r="B100" s="120" t="s">
        <v>104</v>
      </c>
      <c r="C100" s="216">
        <v>0</v>
      </c>
      <c r="D100" s="220">
        <v>0</v>
      </c>
      <c r="E100" s="221">
        <v>0</v>
      </c>
      <c r="F100" s="221">
        <v>-1199392.08</v>
      </c>
      <c r="G100" s="222">
        <v>-1199392.08</v>
      </c>
      <c r="H100" s="227"/>
      <c r="I100" s="227"/>
      <c r="J100" s="227">
        <v>-386531.56</v>
      </c>
      <c r="K100" s="227">
        <v>-18557.150000000001</v>
      </c>
      <c r="L100" s="348">
        <v>-1781.13</v>
      </c>
      <c r="M100" s="378">
        <v>-1161.2</v>
      </c>
      <c r="N100" s="378">
        <v>-930991.8</v>
      </c>
      <c r="O100" s="378">
        <v>-572838.68999999994</v>
      </c>
      <c r="P100" s="423">
        <v>-1446374.82</v>
      </c>
      <c r="Q100" s="424">
        <v>-1188538.9999999998</v>
      </c>
      <c r="R100" s="424">
        <v>-1188539</v>
      </c>
      <c r="S100" s="424">
        <v>-1127490.2</v>
      </c>
      <c r="T100" s="460">
        <v>-94282.11</v>
      </c>
      <c r="U100" s="461">
        <v>-1781447.37</v>
      </c>
      <c r="V100" s="461"/>
      <c r="W100" s="461"/>
      <c r="X100" s="51"/>
    </row>
    <row r="101" spans="1:24" x14ac:dyDescent="0.25">
      <c r="B101" s="107" t="s">
        <v>231</v>
      </c>
      <c r="C101" s="282">
        <v>-178741360.40999997</v>
      </c>
      <c r="D101" s="283">
        <v>-98308484.379999951</v>
      </c>
      <c r="E101" s="284">
        <v>-77564076.489999995</v>
      </c>
      <c r="F101" s="284">
        <v>-139476721.19000003</v>
      </c>
      <c r="G101" s="285">
        <v>-137630449.87</v>
      </c>
      <c r="H101" s="286"/>
      <c r="I101" s="286"/>
      <c r="J101" s="286">
        <f t="shared" ref="J101:O101" si="0">SUM(J2:J100)</f>
        <v>-171211316.77999997</v>
      </c>
      <c r="K101" s="350">
        <f t="shared" si="0"/>
        <v>-168204063.60999998</v>
      </c>
      <c r="L101" s="351">
        <f t="shared" si="0"/>
        <v>-124529305.02484794</v>
      </c>
      <c r="M101" s="403">
        <f t="shared" si="0"/>
        <v>-201749426.88999996</v>
      </c>
      <c r="N101" s="403">
        <f t="shared" si="0"/>
        <v>-284850009.67000002</v>
      </c>
      <c r="O101" s="403">
        <f t="shared" si="0"/>
        <v>-209197676.81</v>
      </c>
      <c r="P101" s="427">
        <f>SUM(P2:P100)</f>
        <v>-142362530.64000002</v>
      </c>
      <c r="Q101" s="428">
        <f t="shared" ref="Q101" si="1">SUM(Q2:Q100)</f>
        <v>-130238294.71999998</v>
      </c>
      <c r="R101" s="428">
        <f t="shared" ref="R101" si="2">SUM(R2:R100)</f>
        <v>-111078438.96000001</v>
      </c>
      <c r="S101" s="428">
        <f t="shared" ref="S101" si="3">SUM(S2:S100)</f>
        <v>-186287116.15000001</v>
      </c>
      <c r="T101" s="463">
        <f>SUM(T2:T100)</f>
        <v>-134932230.71000004</v>
      </c>
      <c r="U101" s="464">
        <f>SUM(U2:U100)</f>
        <v>-123835620.70999999</v>
      </c>
      <c r="V101" s="464">
        <f t="shared" ref="V101:W101" si="4">SUM(V2:V100)</f>
        <v>0</v>
      </c>
      <c r="W101" s="464">
        <f t="shared" si="4"/>
        <v>0</v>
      </c>
      <c r="X101" s="415" t="s">
        <v>296</v>
      </c>
    </row>
    <row r="102" spans="1:24" ht="16.5" x14ac:dyDescent="0.25">
      <c r="B102" s="281" t="s">
        <v>301</v>
      </c>
      <c r="J102" s="227">
        <v>-4178197.58</v>
      </c>
      <c r="K102" s="227">
        <v>-6214052.0300000003</v>
      </c>
      <c r="L102" s="348">
        <v>-4443561.57</v>
      </c>
      <c r="M102" s="404">
        <v>-4070169.59</v>
      </c>
      <c r="N102" s="404">
        <v>-3963904.07</v>
      </c>
      <c r="O102" s="404">
        <v>-5830255.8700000001</v>
      </c>
      <c r="P102" s="423">
        <v>-5298472.55</v>
      </c>
      <c r="Q102" s="429">
        <v>-4806581.88</v>
      </c>
      <c r="R102" s="429">
        <v>-6027373.8799999999</v>
      </c>
      <c r="S102" s="429">
        <v>-6514116.3200000003</v>
      </c>
      <c r="T102" s="460">
        <v>-6272045.7999999998</v>
      </c>
      <c r="U102" s="465">
        <v>-5770426.1500000004</v>
      </c>
      <c r="V102" s="465"/>
      <c r="W102" s="465"/>
      <c r="X102" s="51"/>
    </row>
    <row r="103" spans="1:24" ht="16.5" x14ac:dyDescent="0.25">
      <c r="B103" s="281" t="s">
        <v>269</v>
      </c>
      <c r="J103" s="286">
        <f t="shared" ref="J103:O103" si="5">J101+J102</f>
        <v>-175389514.35999998</v>
      </c>
      <c r="K103" s="286">
        <f t="shared" si="5"/>
        <v>-174418115.63999999</v>
      </c>
      <c r="L103" s="351">
        <f t="shared" si="5"/>
        <v>-128972866.59484795</v>
      </c>
      <c r="M103" s="378">
        <f t="shared" si="5"/>
        <v>-205819596.47999996</v>
      </c>
      <c r="N103" s="378">
        <f t="shared" si="5"/>
        <v>-288813913.74000001</v>
      </c>
      <c r="O103" s="378">
        <f t="shared" si="5"/>
        <v>-215027932.68000001</v>
      </c>
      <c r="P103" s="427">
        <f t="shared" ref="P103" si="6">P101+P102</f>
        <v>-147661003.19000003</v>
      </c>
      <c r="Q103" s="424">
        <f t="shared" ref="Q103" si="7">Q101+Q102</f>
        <v>-135044876.59999999</v>
      </c>
      <c r="R103" s="424">
        <f t="shared" ref="R103" si="8">R101+R102</f>
        <v>-117105812.84</v>
      </c>
      <c r="S103" s="424">
        <f t="shared" ref="S103:V103" si="9">S101+S102</f>
        <v>-192801232.47</v>
      </c>
      <c r="T103" s="463">
        <f t="shared" si="9"/>
        <v>-141204276.51000005</v>
      </c>
      <c r="U103" s="461">
        <f t="shared" si="9"/>
        <v>-129606046.86</v>
      </c>
      <c r="V103" s="461">
        <f t="shared" si="9"/>
        <v>0</v>
      </c>
      <c r="W103" s="461">
        <f t="shared" ref="W103" si="10">W101+W102</f>
        <v>0</v>
      </c>
      <c r="X103" s="51"/>
    </row>
    <row r="104" spans="1:24" ht="16.5" x14ac:dyDescent="0.25">
      <c r="B104" s="281" t="s">
        <v>258</v>
      </c>
      <c r="L104" s="348">
        <f>128972866.59*-1</f>
        <v>-128972866.59</v>
      </c>
      <c r="M104" s="378">
        <v>-205819596.47999999</v>
      </c>
      <c r="N104" s="378">
        <v>-288813913.74000001</v>
      </c>
      <c r="O104" s="378">
        <v>-215027932.68000001</v>
      </c>
      <c r="P104" s="423">
        <v>-147661003.19</v>
      </c>
      <c r="Q104" s="424">
        <v>-135044876.59999999</v>
      </c>
      <c r="R104" s="424">
        <v>-117105812.84</v>
      </c>
      <c r="S104" s="424">
        <v>-192795712.87</v>
      </c>
      <c r="T104" s="460">
        <v>-141204276.50999999</v>
      </c>
      <c r="U104" s="461">
        <v>-129606046.86</v>
      </c>
      <c r="V104" s="461"/>
      <c r="W104" s="461"/>
    </row>
    <row r="105" spans="1:24" ht="16.5" x14ac:dyDescent="0.25">
      <c r="B105" s="281" t="s">
        <v>259</v>
      </c>
      <c r="C105" s="389"/>
      <c r="D105" s="390"/>
      <c r="E105" s="391"/>
      <c r="F105" s="391"/>
      <c r="G105" s="392"/>
      <c r="H105" s="393"/>
      <c r="I105" s="393"/>
      <c r="J105" s="393"/>
      <c r="K105" s="393"/>
      <c r="L105" s="351">
        <f t="shared" ref="L105:S105" si="11">L103-L104</f>
        <v>-4.8479437828063965E-3</v>
      </c>
      <c r="M105" s="403">
        <f t="shared" si="11"/>
        <v>0</v>
      </c>
      <c r="N105" s="403">
        <f t="shared" si="11"/>
        <v>0</v>
      </c>
      <c r="O105" s="403">
        <f t="shared" si="11"/>
        <v>0</v>
      </c>
      <c r="P105" s="427">
        <f t="shared" si="11"/>
        <v>0</v>
      </c>
      <c r="Q105" s="428">
        <f t="shared" si="11"/>
        <v>0</v>
      </c>
      <c r="R105" s="428">
        <f t="shared" si="11"/>
        <v>0</v>
      </c>
      <c r="S105" s="428">
        <f t="shared" si="11"/>
        <v>-5519.5999999940395</v>
      </c>
      <c r="T105" s="463">
        <f t="shared" ref="T105:W105" si="12">T103-T104</f>
        <v>0</v>
      </c>
      <c r="U105" s="464">
        <f t="shared" si="12"/>
        <v>0</v>
      </c>
      <c r="V105" s="464">
        <f t="shared" si="12"/>
        <v>0</v>
      </c>
      <c r="W105" s="464">
        <f t="shared" si="12"/>
        <v>0</v>
      </c>
    </row>
    <row r="106" spans="1:24" x14ac:dyDescent="0.25">
      <c r="S106" s="468" t="s">
        <v>318</v>
      </c>
    </row>
  </sheetData>
  <mergeCells count="1">
    <mergeCell ref="Y5:AD11"/>
  </mergeCells>
  <phoneticPr fontId="20" type="noConversion"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Monthly Letting Report</vt:lpstr>
      <vt:lpstr>RUTF</vt:lpstr>
      <vt:lpstr>Federal</vt:lpstr>
      <vt:lpstr>Co Contrib</vt:lpstr>
      <vt:lpstr>Other Rev</vt:lpstr>
      <vt:lpstr>Expenditures</vt:lpstr>
      <vt:lpstr>Qrtrly Cash Balances</vt:lpstr>
      <vt:lpstr>Qrtrly Obligations</vt:lpstr>
      <vt:lpstr>'Monthly Letting Report'!Print_Area</vt:lpstr>
      <vt:lpstr>'Monthly Letting Report'!Print_Titles</vt:lpstr>
    </vt:vector>
  </TitlesOfParts>
  <Company>Iowa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rhalver</dc:creator>
  <cp:lastModifiedBy>Stinn, Niki</cp:lastModifiedBy>
  <cp:lastPrinted>2011-01-05T16:59:02Z</cp:lastPrinted>
  <dcterms:created xsi:type="dcterms:W3CDTF">2010-05-20T19:16:17Z</dcterms:created>
  <dcterms:modified xsi:type="dcterms:W3CDTF">2025-03-25T17:23:56Z</dcterms:modified>
</cp:coreProperties>
</file>