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13_ncr:1_{DB4D2AF6-BC75-4209-AB11-22335404C918}" xr6:coauthVersionLast="47" xr6:coauthVersionMax="47" xr10:uidLastSave="{00000000-0000-0000-0000-000000000000}"/>
  <bookViews>
    <workbookView xWindow="-27000" yWindow="525" windowWidth="26685" windowHeight="14850"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03" i="104" l="1"/>
  <c r="AM103" i="104"/>
  <c r="AN101" i="104"/>
  <c r="AM101" i="104"/>
  <c r="AN89" i="104"/>
  <c r="AM89" i="104"/>
  <c r="AN50" i="104"/>
  <c r="AM50" i="104"/>
  <c r="AN41" i="104"/>
  <c r="AM41" i="104"/>
  <c r="AN18" i="104"/>
  <c r="AM18" i="104"/>
  <c r="AN17" i="104"/>
  <c r="AM17" i="104"/>
  <c r="D7" i="11"/>
  <c r="D14" i="13"/>
  <c r="D8" i="24"/>
  <c r="D9" i="62"/>
  <c r="D8" i="62"/>
  <c r="D6" i="71"/>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H6" i="102" s="1"/>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F10" i="104"/>
  <c r="AE10" i="104"/>
  <c r="AB103" i="104"/>
  <c r="AB102" i="104"/>
  <c r="AB101" i="104"/>
  <c r="AB100" i="104"/>
  <c r="AB99" i="104"/>
  <c r="AB98" i="104"/>
  <c r="AB97" i="104"/>
  <c r="AB96" i="104"/>
  <c r="AB95" i="104"/>
  <c r="AB94" i="104"/>
  <c r="AB93" i="104"/>
  <c r="AB92" i="104"/>
  <c r="AB91" i="104"/>
  <c r="AB90" i="104"/>
  <c r="AB89" i="104"/>
  <c r="AB88" i="104"/>
  <c r="AB87" i="104"/>
  <c r="AB86" i="104"/>
  <c r="AB85" i="104"/>
  <c r="AB84" i="104"/>
  <c r="AB83" i="104"/>
  <c r="AB82" i="104"/>
  <c r="AB81" i="104"/>
  <c r="AB80" i="104"/>
  <c r="AB79" i="104"/>
  <c r="AB78" i="104"/>
  <c r="AB77" i="104"/>
  <c r="AB76" i="104"/>
  <c r="AB75" i="104"/>
  <c r="AB74" i="104"/>
  <c r="AB73" i="104"/>
  <c r="AB72" i="104"/>
  <c r="AB71" i="104"/>
  <c r="AB70" i="104"/>
  <c r="AB69" i="104"/>
  <c r="AB68" i="104"/>
  <c r="AB67" i="104"/>
  <c r="AB66" i="104"/>
  <c r="AB65" i="104"/>
  <c r="AB64" i="104"/>
  <c r="AB63" i="104"/>
  <c r="AB62" i="104"/>
  <c r="AB61" i="104"/>
  <c r="AB60" i="104"/>
  <c r="AB59" i="104"/>
  <c r="AB58" i="104"/>
  <c r="AB57" i="104"/>
  <c r="AB56" i="104"/>
  <c r="AB55" i="104"/>
  <c r="AB54" i="104"/>
  <c r="AB53" i="104"/>
  <c r="AB52" i="104"/>
  <c r="AB51" i="104"/>
  <c r="AB50" i="104"/>
  <c r="AB49" i="104"/>
  <c r="AB48" i="104"/>
  <c r="AB47" i="104"/>
  <c r="AB46" i="104"/>
  <c r="AB45" i="104"/>
  <c r="AB44" i="104"/>
  <c r="AB43" i="104"/>
  <c r="AB42" i="104"/>
  <c r="AB41" i="104"/>
  <c r="AB40" i="104"/>
  <c r="AB39" i="104"/>
  <c r="AB38" i="104"/>
  <c r="AB37" i="104"/>
  <c r="AB36" i="104"/>
  <c r="AB35" i="104"/>
  <c r="AB34" i="104"/>
  <c r="AB33" i="104"/>
  <c r="AB32" i="104"/>
  <c r="AB31" i="104"/>
  <c r="AB30" i="104"/>
  <c r="AB29" i="104"/>
  <c r="AB28" i="104"/>
  <c r="AB27" i="104"/>
  <c r="AB26" i="104"/>
  <c r="AB25" i="104"/>
  <c r="AB24" i="104"/>
  <c r="AB23" i="104"/>
  <c r="AB22" i="104"/>
  <c r="AB21" i="104"/>
  <c r="AB20" i="104"/>
  <c r="AB19" i="104"/>
  <c r="AB18" i="104"/>
  <c r="AB17" i="104"/>
  <c r="AB16" i="104"/>
  <c r="AB15" i="104"/>
  <c r="AB14" i="104"/>
  <c r="AB13" i="104"/>
  <c r="AB12" i="104"/>
  <c r="AB11" i="104"/>
  <c r="AB10" i="104"/>
  <c r="AB9" i="104"/>
  <c r="AB8" i="104"/>
  <c r="AB7" i="104"/>
  <c r="AB6" i="104"/>
  <c r="AB5" i="104"/>
  <c r="M98" i="104"/>
  <c r="M82" i="104"/>
  <c r="M66" i="104"/>
  <c r="M50" i="104"/>
  <c r="M34" i="104"/>
  <c r="H25" i="11"/>
  <c r="H24" i="11"/>
  <c r="H23" i="11"/>
  <c r="H22" i="11"/>
  <c r="H21" i="11"/>
  <c r="H20" i="11"/>
  <c r="H19" i="11"/>
  <c r="H18" i="11"/>
  <c r="H17" i="11"/>
  <c r="H16" i="11"/>
  <c r="H15" i="11"/>
  <c r="H14" i="11"/>
  <c r="H13" i="11"/>
  <c r="H12" i="11"/>
  <c r="H11" i="11"/>
  <c r="H10" i="11"/>
  <c r="H9" i="11"/>
  <c r="H8" i="11"/>
  <c r="H7" i="11"/>
  <c r="H6" i="11"/>
  <c r="H5" i="11"/>
  <c r="H4" i="11"/>
  <c r="H26" i="11" s="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29" i="17" s="1"/>
  <c r="H18" i="18"/>
  <c r="H17" i="18"/>
  <c r="H16" i="18"/>
  <c r="H15" i="18"/>
  <c r="H14" i="18"/>
  <c r="H13" i="18"/>
  <c r="H12" i="18"/>
  <c r="H11" i="18"/>
  <c r="H10" i="18"/>
  <c r="H9" i="18"/>
  <c r="H8" i="18"/>
  <c r="H7" i="18"/>
  <c r="H5" i="18"/>
  <c r="H4" i="18"/>
  <c r="H18" i="19"/>
  <c r="H17" i="19"/>
  <c r="H16" i="19"/>
  <c r="H15" i="19"/>
  <c r="H14" i="19"/>
  <c r="H13" i="19"/>
  <c r="H12" i="19"/>
  <c r="H11" i="19"/>
  <c r="H10" i="19"/>
  <c r="H9" i="19"/>
  <c r="H8" i="19"/>
  <c r="H19" i="19" s="1"/>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25" i="21" s="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0" s="1"/>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25" i="33" s="1"/>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4" i="49" s="1"/>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7" i="56"/>
  <c r="H6" i="56"/>
  <c r="H5" i="56"/>
  <c r="H4" i="56"/>
  <c r="H8" i="56" s="1"/>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18" i="71" s="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9"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2" i="102"/>
  <c r="H21" i="102"/>
  <c r="H20" i="102"/>
  <c r="H19" i="102"/>
  <c r="H18" i="102"/>
  <c r="H17" i="102"/>
  <c r="H16" i="102"/>
  <c r="H15" i="102"/>
  <c r="H11" i="102"/>
  <c r="G10" i="102"/>
  <c r="H10" i="102" s="1"/>
  <c r="G9" i="102"/>
  <c r="H9" i="102" s="1"/>
  <c r="G8" i="102"/>
  <c r="H8" i="102" s="1"/>
  <c r="H7" i="102"/>
  <c r="G7" i="102"/>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I5" i="104"/>
  <c r="J5" i="104" s="1"/>
  <c r="N5" i="104"/>
  <c r="O5" i="104"/>
  <c r="AC5" i="104"/>
  <c r="I103" i="104"/>
  <c r="K103" i="104" s="1"/>
  <c r="I102" i="104"/>
  <c r="J102" i="104" s="1"/>
  <c r="I101" i="104"/>
  <c r="J101" i="104" s="1"/>
  <c r="I100" i="104"/>
  <c r="J100" i="104" s="1"/>
  <c r="I99" i="104"/>
  <c r="J99" i="104" s="1"/>
  <c r="I98" i="104"/>
  <c r="J98" i="104" s="1"/>
  <c r="I97" i="104"/>
  <c r="J97" i="104" s="1"/>
  <c r="I96" i="104"/>
  <c r="J96" i="104" s="1"/>
  <c r="I95" i="104"/>
  <c r="K95" i="104" s="1"/>
  <c r="I94" i="104"/>
  <c r="J94" i="104" s="1"/>
  <c r="I93" i="104"/>
  <c r="J93" i="104" s="1"/>
  <c r="I92" i="104"/>
  <c r="J92" i="104" s="1"/>
  <c r="I91" i="104"/>
  <c r="J91" i="104" s="1"/>
  <c r="I90" i="104"/>
  <c r="J90" i="104" s="1"/>
  <c r="I89" i="104"/>
  <c r="J89" i="104" s="1"/>
  <c r="I88" i="104"/>
  <c r="K88" i="104" s="1"/>
  <c r="I87" i="104"/>
  <c r="K87" i="104" s="1"/>
  <c r="I86" i="104"/>
  <c r="J86" i="104" s="1"/>
  <c r="I85" i="104"/>
  <c r="J85" i="104" s="1"/>
  <c r="I84" i="104"/>
  <c r="J84" i="104" s="1"/>
  <c r="I83" i="104"/>
  <c r="J83" i="104" s="1"/>
  <c r="I82" i="104"/>
  <c r="J82" i="104" s="1"/>
  <c r="I81" i="104"/>
  <c r="J81" i="104" s="1"/>
  <c r="I80" i="104"/>
  <c r="J80" i="104" s="1"/>
  <c r="I79" i="104"/>
  <c r="K79" i="104" s="1"/>
  <c r="I78" i="104"/>
  <c r="J78" i="104" s="1"/>
  <c r="I77" i="104"/>
  <c r="J77" i="104" s="1"/>
  <c r="I76" i="104"/>
  <c r="J76" i="104" s="1"/>
  <c r="I75" i="104"/>
  <c r="J75" i="104" s="1"/>
  <c r="I74" i="104"/>
  <c r="J74" i="104" s="1"/>
  <c r="I73" i="104"/>
  <c r="J73" i="104" s="1"/>
  <c r="I72" i="104"/>
  <c r="J72" i="104" s="1"/>
  <c r="I71" i="104"/>
  <c r="K71" i="104" s="1"/>
  <c r="I70" i="104"/>
  <c r="J70" i="104" s="1"/>
  <c r="I69" i="104"/>
  <c r="J69" i="104" s="1"/>
  <c r="I68" i="104"/>
  <c r="J68" i="104" s="1"/>
  <c r="I67" i="104"/>
  <c r="J67" i="104" s="1"/>
  <c r="I66" i="104"/>
  <c r="J66" i="104" s="1"/>
  <c r="I65" i="104"/>
  <c r="J65" i="104" s="1"/>
  <c r="I64" i="104"/>
  <c r="J64" i="104" s="1"/>
  <c r="I63" i="104"/>
  <c r="K63" i="104" s="1"/>
  <c r="I62" i="104"/>
  <c r="J62" i="104" s="1"/>
  <c r="I61" i="104"/>
  <c r="J61" i="104" s="1"/>
  <c r="I60" i="104"/>
  <c r="J60" i="104" s="1"/>
  <c r="I59" i="104"/>
  <c r="J59" i="104" s="1"/>
  <c r="I58" i="104"/>
  <c r="J58" i="104" s="1"/>
  <c r="I57" i="104"/>
  <c r="J57" i="104" s="1"/>
  <c r="I56" i="104"/>
  <c r="K56" i="104" s="1"/>
  <c r="I55" i="104"/>
  <c r="K55" i="104" s="1"/>
  <c r="I54" i="104"/>
  <c r="J54" i="104" s="1"/>
  <c r="I53" i="104"/>
  <c r="J53" i="104" s="1"/>
  <c r="I52" i="104"/>
  <c r="J52" i="104" s="1"/>
  <c r="I51" i="104"/>
  <c r="J51" i="104" s="1"/>
  <c r="I50" i="104"/>
  <c r="J50" i="104" s="1"/>
  <c r="I49" i="104"/>
  <c r="J49" i="104" s="1"/>
  <c r="I48" i="104"/>
  <c r="J48" i="104" s="1"/>
  <c r="I47" i="104"/>
  <c r="K47" i="104" s="1"/>
  <c r="I46" i="104"/>
  <c r="J46" i="104" s="1"/>
  <c r="I45" i="104"/>
  <c r="J45" i="104" s="1"/>
  <c r="I44" i="104"/>
  <c r="J44" i="104" s="1"/>
  <c r="I43" i="104"/>
  <c r="J43" i="104" s="1"/>
  <c r="I42" i="104"/>
  <c r="J42" i="104" s="1"/>
  <c r="I41" i="104"/>
  <c r="J41" i="104" s="1"/>
  <c r="I40" i="104"/>
  <c r="J40" i="104" s="1"/>
  <c r="I39" i="104"/>
  <c r="K39" i="104" s="1"/>
  <c r="I38" i="104"/>
  <c r="J38" i="104" s="1"/>
  <c r="I37" i="104"/>
  <c r="J37" i="104" s="1"/>
  <c r="I36" i="104"/>
  <c r="J36" i="104" s="1"/>
  <c r="I35" i="104"/>
  <c r="J35" i="104" s="1"/>
  <c r="I34" i="104"/>
  <c r="J34" i="104" s="1"/>
  <c r="I33" i="104"/>
  <c r="J33" i="104" s="1"/>
  <c r="I32" i="104"/>
  <c r="J32" i="104" s="1"/>
  <c r="I31" i="104"/>
  <c r="K31" i="104" s="1"/>
  <c r="I30" i="104"/>
  <c r="J30" i="104" s="1"/>
  <c r="I29" i="104"/>
  <c r="J29" i="104" s="1"/>
  <c r="I28" i="104"/>
  <c r="J28" i="104" s="1"/>
  <c r="I27" i="104"/>
  <c r="J27" i="104" s="1"/>
  <c r="I26" i="104"/>
  <c r="J26" i="104" s="1"/>
  <c r="I25" i="104"/>
  <c r="J25" i="104" s="1"/>
  <c r="I24" i="104"/>
  <c r="K24" i="104" s="1"/>
  <c r="I23" i="104"/>
  <c r="K23" i="104" s="1"/>
  <c r="I22" i="104"/>
  <c r="J22" i="104" s="1"/>
  <c r="I21" i="104"/>
  <c r="J21" i="104" s="1"/>
  <c r="I20" i="104"/>
  <c r="J20" i="104" s="1"/>
  <c r="I19" i="104"/>
  <c r="J19" i="104" s="1"/>
  <c r="I18" i="104"/>
  <c r="J18" i="104" s="1"/>
  <c r="I17" i="104"/>
  <c r="J17" i="104" s="1"/>
  <c r="I16" i="104"/>
  <c r="J16" i="104" s="1"/>
  <c r="I15" i="104"/>
  <c r="K15" i="104" s="1"/>
  <c r="I14" i="104"/>
  <c r="J14" i="104" s="1"/>
  <c r="I13" i="104"/>
  <c r="J13" i="104" s="1"/>
  <c r="I12" i="104"/>
  <c r="J12" i="104" s="1"/>
  <c r="I11" i="104"/>
  <c r="J11" i="104" s="1"/>
  <c r="I10" i="104"/>
  <c r="J10" i="104" s="1"/>
  <c r="I9" i="104"/>
  <c r="J9" i="104" s="1"/>
  <c r="I8" i="104"/>
  <c r="J8" i="104" s="1"/>
  <c r="I7" i="104"/>
  <c r="K7" i="104" s="1"/>
  <c r="I6" i="104"/>
  <c r="J6" i="104" s="1"/>
  <c r="B9" i="4"/>
  <c r="D9" i="101"/>
  <c r="D7" i="24"/>
  <c r="D6" i="100"/>
  <c r="D18" i="102"/>
  <c r="J19" i="43"/>
  <c r="J18" i="43"/>
  <c r="J17" i="43"/>
  <c r="J16" i="43"/>
  <c r="J15" i="43"/>
  <c r="J14" i="43"/>
  <c r="J13" i="43"/>
  <c r="J12" i="43"/>
  <c r="J11" i="43"/>
  <c r="J10" i="43"/>
  <c r="J9" i="43"/>
  <c r="J8" i="43"/>
  <c r="J7" i="43"/>
  <c r="J5" i="43"/>
  <c r="J4" i="43"/>
  <c r="H21" i="24" l="1"/>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M29" i="104"/>
  <c r="M45" i="104"/>
  <c r="M61" i="104"/>
  <c r="M77" i="104"/>
  <c r="M93" i="104"/>
  <c r="M32" i="104"/>
  <c r="M48" i="104"/>
  <c r="M64" i="104"/>
  <c r="M80" i="104"/>
  <c r="M96" i="104"/>
  <c r="J88" i="104"/>
  <c r="M11" i="104"/>
  <c r="M35" i="104"/>
  <c r="M51" i="104"/>
  <c r="M67" i="104"/>
  <c r="M83" i="104"/>
  <c r="M99" i="104"/>
  <c r="K57" i="104"/>
  <c r="M13" i="104"/>
  <c r="M37" i="104"/>
  <c r="M53" i="104"/>
  <c r="M69" i="104"/>
  <c r="M85" i="104"/>
  <c r="M101" i="104"/>
  <c r="K89" i="104"/>
  <c r="M19" i="104"/>
  <c r="M40" i="104"/>
  <c r="M56" i="104"/>
  <c r="M72" i="104"/>
  <c r="M88" i="104"/>
  <c r="M21" i="104"/>
  <c r="M42" i="104"/>
  <c r="M58" i="104"/>
  <c r="M74" i="104"/>
  <c r="M90" i="104"/>
  <c r="M27" i="104"/>
  <c r="M43" i="104"/>
  <c r="M59" i="104"/>
  <c r="M75" i="104"/>
  <c r="M91" i="104"/>
  <c r="K65" i="104"/>
  <c r="M12" i="104"/>
  <c r="M20" i="104"/>
  <c r="M28" i="104"/>
  <c r="M36" i="104"/>
  <c r="M44" i="104"/>
  <c r="M52" i="104"/>
  <c r="M60" i="104"/>
  <c r="M68" i="104"/>
  <c r="M76" i="104"/>
  <c r="M84" i="104"/>
  <c r="M92" i="104"/>
  <c r="M100" i="104"/>
  <c r="K97" i="104"/>
  <c r="M6" i="104"/>
  <c r="M14" i="104"/>
  <c r="M22" i="104"/>
  <c r="M30" i="104"/>
  <c r="M38" i="104"/>
  <c r="M46" i="104"/>
  <c r="M54" i="104"/>
  <c r="M62" i="104"/>
  <c r="M70" i="104"/>
  <c r="M78" i="104"/>
  <c r="M86" i="104"/>
  <c r="M94" i="104"/>
  <c r="M102" i="104"/>
  <c r="M5" i="104"/>
  <c r="J56" i="104"/>
  <c r="M7" i="104"/>
  <c r="M15" i="104"/>
  <c r="M23" i="104"/>
  <c r="M31" i="104"/>
  <c r="M39" i="104"/>
  <c r="M47" i="104"/>
  <c r="M55" i="104"/>
  <c r="M63" i="104"/>
  <c r="M71" i="104"/>
  <c r="M79" i="104"/>
  <c r="M87" i="104"/>
  <c r="M95" i="104"/>
  <c r="M103" i="104"/>
  <c r="M8" i="104"/>
  <c r="M16" i="104"/>
  <c r="M24" i="104"/>
  <c r="K25" i="104"/>
  <c r="M9" i="104"/>
  <c r="M17" i="104"/>
  <c r="M25" i="104"/>
  <c r="M33" i="104"/>
  <c r="M41" i="104"/>
  <c r="M49" i="104"/>
  <c r="M57" i="104"/>
  <c r="M65" i="104"/>
  <c r="M73" i="104"/>
  <c r="M81" i="104"/>
  <c r="M89" i="104"/>
  <c r="M97" i="104"/>
  <c r="K33" i="104"/>
  <c r="K5" i="104"/>
  <c r="M10" i="104"/>
  <c r="M18" i="104"/>
  <c r="M26" i="104"/>
  <c r="H22" i="12"/>
  <c r="H15" i="57"/>
  <c r="J18" i="71"/>
  <c r="J87" i="104"/>
  <c r="K32" i="104"/>
  <c r="K64" i="104"/>
  <c r="K96" i="104"/>
  <c r="K8" i="104"/>
  <c r="K40" i="104"/>
  <c r="K72" i="104"/>
  <c r="K9" i="104"/>
  <c r="K41" i="104"/>
  <c r="K73" i="104"/>
  <c r="J23" i="104"/>
  <c r="K16" i="104"/>
  <c r="K48" i="104"/>
  <c r="K80" i="104"/>
  <c r="J24" i="104"/>
  <c r="K17" i="104"/>
  <c r="K49" i="104"/>
  <c r="K81" i="104"/>
  <c r="J55" i="104"/>
  <c r="J31" i="104"/>
  <c r="J63" i="104"/>
  <c r="J95" i="104"/>
  <c r="K10" i="104"/>
  <c r="K18" i="104"/>
  <c r="K26" i="104"/>
  <c r="K34" i="104"/>
  <c r="K42" i="104"/>
  <c r="K50" i="104"/>
  <c r="K58" i="104"/>
  <c r="K66" i="104"/>
  <c r="K74" i="104"/>
  <c r="K82" i="104"/>
  <c r="K90" i="104"/>
  <c r="K98" i="104"/>
  <c r="K11" i="104"/>
  <c r="K19" i="104"/>
  <c r="K27" i="104"/>
  <c r="K35" i="104"/>
  <c r="K43" i="104"/>
  <c r="K51" i="104"/>
  <c r="K59" i="104"/>
  <c r="K67" i="104"/>
  <c r="K75" i="104"/>
  <c r="K83" i="104"/>
  <c r="K91" i="104"/>
  <c r="K99" i="104"/>
  <c r="J7" i="104"/>
  <c r="J39" i="104"/>
  <c r="J71" i="104"/>
  <c r="J103" i="104"/>
  <c r="K12" i="104"/>
  <c r="K20" i="104"/>
  <c r="K28" i="104"/>
  <c r="K36" i="104"/>
  <c r="K44" i="104"/>
  <c r="K52" i="104"/>
  <c r="K60" i="104"/>
  <c r="K68" i="104"/>
  <c r="K76" i="104"/>
  <c r="K84" i="104"/>
  <c r="K92" i="104"/>
  <c r="K100" i="104"/>
  <c r="K13" i="104"/>
  <c r="K21" i="104"/>
  <c r="K29" i="104"/>
  <c r="K37" i="104"/>
  <c r="K45" i="104"/>
  <c r="K53" i="104"/>
  <c r="K61" i="104"/>
  <c r="K69" i="104"/>
  <c r="K77" i="104"/>
  <c r="K85" i="104"/>
  <c r="K93" i="104"/>
  <c r="K101" i="104"/>
  <c r="J15" i="104"/>
  <c r="J47" i="104"/>
  <c r="J79" i="104"/>
  <c r="K6" i="104"/>
  <c r="K14" i="104"/>
  <c r="K22" i="104"/>
  <c r="K30" i="104"/>
  <c r="K38" i="104"/>
  <c r="K46" i="104"/>
  <c r="K54" i="104"/>
  <c r="K62" i="104"/>
  <c r="K70" i="104"/>
  <c r="K78" i="104"/>
  <c r="K86" i="104"/>
  <c r="K94" i="104"/>
  <c r="K102" i="104"/>
  <c r="I104" i="104"/>
  <c r="D8" i="18"/>
  <c r="D8" i="17"/>
  <c r="D6" i="80"/>
  <c r="J6" i="12"/>
  <c r="C4" i="22"/>
  <c r="D4" i="22" s="1"/>
  <c r="C8" i="29"/>
  <c r="D8" i="12"/>
  <c r="D8" i="106"/>
  <c r="D17" i="75"/>
  <c r="D8" i="38"/>
  <c r="D5" i="71"/>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6"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7" i="56"/>
  <c r="J6" i="56"/>
  <c r="J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9"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2" i="102"/>
  <c r="J21"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7" i="56"/>
  <c r="F6" i="56"/>
  <c r="F5" i="56"/>
  <c r="F4" i="56"/>
  <c r="F8" i="56" s="1"/>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9"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2" i="102"/>
  <c r="F21"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26" i="11" l="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B29" i="4" l="1"/>
  <c r="B30" i="4"/>
  <c r="D9" i="30"/>
  <c r="D8" i="30"/>
  <c r="D7" i="36"/>
  <c r="D12" i="75"/>
  <c r="F12" i="75" s="1"/>
  <c r="H104" i="104" l="1"/>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H23" i="102" s="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23"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W5" i="104"/>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23"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W7" i="104" s="1"/>
  <c r="T6" i="104"/>
  <c r="U6" i="104" s="1"/>
  <c r="W6" i="104" s="1"/>
  <c r="X6" i="104" l="1"/>
  <c r="Y6" i="104" s="1"/>
  <c r="V6" i="104"/>
  <c r="X7" i="104"/>
  <c r="Y7" i="104" s="1"/>
  <c r="V7" i="104"/>
  <c r="T8" i="104"/>
  <c r="U8" i="104" s="1"/>
  <c r="W8" i="104" s="1"/>
  <c r="T9" i="104"/>
  <c r="U9" i="104" s="1"/>
  <c r="W9" i="104" s="1"/>
  <c r="T10" i="104"/>
  <c r="U10" i="104" s="1"/>
  <c r="W10" i="104" s="1"/>
  <c r="T11" i="104"/>
  <c r="U11" i="104" s="1"/>
  <c r="W11" i="104" s="1"/>
  <c r="T12" i="104"/>
  <c r="U12" i="104" s="1"/>
  <c r="W12" i="104" s="1"/>
  <c r="T13" i="104"/>
  <c r="U13" i="104" s="1"/>
  <c r="W13" i="104" s="1"/>
  <c r="T14" i="104"/>
  <c r="U14" i="104" s="1"/>
  <c r="W14" i="104" s="1"/>
  <c r="T15" i="104"/>
  <c r="U15" i="104" s="1"/>
  <c r="W15" i="104" s="1"/>
  <c r="T16" i="104"/>
  <c r="U16" i="104" s="1"/>
  <c r="W16" i="104" s="1"/>
  <c r="T17" i="104"/>
  <c r="U17" i="104" s="1"/>
  <c r="W17" i="104" s="1"/>
  <c r="T18" i="104"/>
  <c r="U18" i="104" s="1"/>
  <c r="W18" i="104" s="1"/>
  <c r="T19" i="104"/>
  <c r="U19" i="104" s="1"/>
  <c r="W19" i="104" s="1"/>
  <c r="T20" i="104"/>
  <c r="U20" i="104" s="1"/>
  <c r="W20" i="104" s="1"/>
  <c r="T21" i="104"/>
  <c r="U21" i="104" s="1"/>
  <c r="W21" i="104" s="1"/>
  <c r="T22" i="104"/>
  <c r="U22" i="104" s="1"/>
  <c r="W22" i="104" s="1"/>
  <c r="T23" i="104"/>
  <c r="U23" i="104" s="1"/>
  <c r="W23" i="104" s="1"/>
  <c r="T24" i="104"/>
  <c r="U24" i="104" s="1"/>
  <c r="W24" i="104" s="1"/>
  <c r="T25" i="104"/>
  <c r="U25" i="104" s="1"/>
  <c r="W25" i="104" s="1"/>
  <c r="T26" i="104"/>
  <c r="U26" i="104" s="1"/>
  <c r="W26" i="104" s="1"/>
  <c r="T27" i="104"/>
  <c r="U27" i="104" s="1"/>
  <c r="W27" i="104" s="1"/>
  <c r="T28" i="104"/>
  <c r="U28" i="104" s="1"/>
  <c r="W28" i="104" s="1"/>
  <c r="T29" i="104"/>
  <c r="U29" i="104" s="1"/>
  <c r="W29" i="104" s="1"/>
  <c r="T30" i="104"/>
  <c r="U30" i="104" s="1"/>
  <c r="W30" i="104" s="1"/>
  <c r="T31" i="104"/>
  <c r="U31" i="104" s="1"/>
  <c r="W31" i="104" s="1"/>
  <c r="T32" i="104"/>
  <c r="U32" i="104" s="1"/>
  <c r="W32" i="104" s="1"/>
  <c r="T33" i="104"/>
  <c r="U33" i="104" s="1"/>
  <c r="W33" i="104" s="1"/>
  <c r="T34" i="104"/>
  <c r="U34" i="104" s="1"/>
  <c r="W34" i="104" s="1"/>
  <c r="T35" i="104"/>
  <c r="U35" i="104" s="1"/>
  <c r="W35" i="104" s="1"/>
  <c r="T36" i="104"/>
  <c r="U36" i="104" s="1"/>
  <c r="W36" i="104" s="1"/>
  <c r="T37" i="104"/>
  <c r="U37" i="104" s="1"/>
  <c r="W37" i="104" s="1"/>
  <c r="T38" i="104"/>
  <c r="U38" i="104" s="1"/>
  <c r="W38" i="104" s="1"/>
  <c r="T39" i="104"/>
  <c r="U39" i="104" s="1"/>
  <c r="W39" i="104" s="1"/>
  <c r="T40" i="104"/>
  <c r="U40" i="104" s="1"/>
  <c r="W40" i="104" s="1"/>
  <c r="T41" i="104"/>
  <c r="U41" i="104" s="1"/>
  <c r="W41" i="104" s="1"/>
  <c r="T42" i="104"/>
  <c r="U42" i="104" s="1"/>
  <c r="W42" i="104" s="1"/>
  <c r="T43" i="104"/>
  <c r="U43" i="104" s="1"/>
  <c r="W43" i="104" s="1"/>
  <c r="T44" i="104"/>
  <c r="U44" i="104" s="1"/>
  <c r="W44" i="104" s="1"/>
  <c r="T45" i="104"/>
  <c r="U45" i="104" s="1"/>
  <c r="W45" i="104" s="1"/>
  <c r="T46" i="104"/>
  <c r="U46" i="104" s="1"/>
  <c r="W46" i="104" s="1"/>
  <c r="T47" i="104"/>
  <c r="U47" i="104" s="1"/>
  <c r="W47" i="104" s="1"/>
  <c r="T48" i="104"/>
  <c r="U48" i="104" s="1"/>
  <c r="W48" i="104" s="1"/>
  <c r="T49" i="104"/>
  <c r="U49" i="104" s="1"/>
  <c r="W49" i="104" s="1"/>
  <c r="T50" i="104"/>
  <c r="U50" i="104" s="1"/>
  <c r="W50" i="104" s="1"/>
  <c r="T51" i="104"/>
  <c r="U51" i="104" s="1"/>
  <c r="W51" i="104" s="1"/>
  <c r="T52" i="104"/>
  <c r="U52" i="104" s="1"/>
  <c r="W52" i="104" s="1"/>
  <c r="T53" i="104"/>
  <c r="U53" i="104" s="1"/>
  <c r="W53" i="104" s="1"/>
  <c r="T54" i="104"/>
  <c r="U54" i="104" s="1"/>
  <c r="W54" i="104" s="1"/>
  <c r="T55" i="104"/>
  <c r="U55" i="104" s="1"/>
  <c r="W55" i="104" s="1"/>
  <c r="T56" i="104"/>
  <c r="U56" i="104" s="1"/>
  <c r="W56" i="104" s="1"/>
  <c r="T57" i="104"/>
  <c r="U57" i="104" s="1"/>
  <c r="W57" i="104" s="1"/>
  <c r="T58" i="104"/>
  <c r="U58" i="104" s="1"/>
  <c r="W58" i="104" s="1"/>
  <c r="T59" i="104"/>
  <c r="U59" i="104" s="1"/>
  <c r="W59" i="104" s="1"/>
  <c r="T60" i="104"/>
  <c r="U60" i="104" s="1"/>
  <c r="W60" i="104" s="1"/>
  <c r="T61" i="104"/>
  <c r="U61" i="104" s="1"/>
  <c r="W61" i="104" s="1"/>
  <c r="T62" i="104"/>
  <c r="U62" i="104" s="1"/>
  <c r="W62" i="104" s="1"/>
  <c r="T63" i="104"/>
  <c r="U63" i="104" s="1"/>
  <c r="W63" i="104" s="1"/>
  <c r="T64" i="104"/>
  <c r="U64" i="104" s="1"/>
  <c r="W64" i="104" s="1"/>
  <c r="T65" i="104"/>
  <c r="U65" i="104" s="1"/>
  <c r="W65" i="104" s="1"/>
  <c r="T66" i="104"/>
  <c r="U66" i="104" s="1"/>
  <c r="W66" i="104" s="1"/>
  <c r="T67" i="104"/>
  <c r="U67" i="104" s="1"/>
  <c r="W67" i="104" s="1"/>
  <c r="T68" i="104"/>
  <c r="U68" i="104" s="1"/>
  <c r="W68" i="104" s="1"/>
  <c r="T69" i="104"/>
  <c r="U69" i="104" s="1"/>
  <c r="W69" i="104" s="1"/>
  <c r="T70" i="104"/>
  <c r="U70" i="104" s="1"/>
  <c r="W70" i="104" s="1"/>
  <c r="T71" i="104"/>
  <c r="U71" i="104" s="1"/>
  <c r="W71" i="104" s="1"/>
  <c r="T72" i="104"/>
  <c r="U72" i="104" s="1"/>
  <c r="T73" i="104"/>
  <c r="U73" i="104" s="1"/>
  <c r="W73" i="104" s="1"/>
  <c r="T74" i="104"/>
  <c r="U74" i="104" s="1"/>
  <c r="W74" i="104" s="1"/>
  <c r="T75" i="104"/>
  <c r="U75" i="104" s="1"/>
  <c r="W75" i="104" s="1"/>
  <c r="T76" i="104"/>
  <c r="U76" i="104" s="1"/>
  <c r="W76" i="104" s="1"/>
  <c r="T77" i="104"/>
  <c r="U77" i="104" s="1"/>
  <c r="W77" i="104" s="1"/>
  <c r="T78" i="104"/>
  <c r="U78" i="104" s="1"/>
  <c r="W78" i="104" s="1"/>
  <c r="T79" i="104"/>
  <c r="U79" i="104" s="1"/>
  <c r="W79" i="104" s="1"/>
  <c r="T80" i="104"/>
  <c r="U80" i="104" s="1"/>
  <c r="W80" i="104" s="1"/>
  <c r="T81" i="104"/>
  <c r="U81" i="104" s="1"/>
  <c r="W81" i="104" s="1"/>
  <c r="T82" i="104"/>
  <c r="U82" i="104" s="1"/>
  <c r="W82" i="104" s="1"/>
  <c r="T83" i="104"/>
  <c r="U83" i="104" s="1"/>
  <c r="W83" i="104" s="1"/>
  <c r="T84" i="104"/>
  <c r="U84" i="104" s="1"/>
  <c r="W84" i="104" s="1"/>
  <c r="T85" i="104"/>
  <c r="U85" i="104" s="1"/>
  <c r="W85" i="104" s="1"/>
  <c r="T86" i="104"/>
  <c r="U86" i="104" s="1"/>
  <c r="W86" i="104" s="1"/>
  <c r="T87" i="104"/>
  <c r="U87" i="104" s="1"/>
  <c r="W87" i="104" s="1"/>
  <c r="T88" i="104"/>
  <c r="U88" i="104" s="1"/>
  <c r="W88" i="104" s="1"/>
  <c r="T89" i="104"/>
  <c r="U89" i="104" s="1"/>
  <c r="W89" i="104" s="1"/>
  <c r="T90" i="104"/>
  <c r="U90" i="104" s="1"/>
  <c r="W90" i="104" s="1"/>
  <c r="T91" i="104"/>
  <c r="U91" i="104" s="1"/>
  <c r="W91" i="104" s="1"/>
  <c r="T92" i="104"/>
  <c r="U92" i="104" s="1"/>
  <c r="W92" i="104" s="1"/>
  <c r="T93" i="104"/>
  <c r="U93" i="104" s="1"/>
  <c r="W93" i="104" s="1"/>
  <c r="T94" i="104"/>
  <c r="U94" i="104" s="1"/>
  <c r="W94" i="104" s="1"/>
  <c r="T95" i="104"/>
  <c r="U95" i="104" s="1"/>
  <c r="W95" i="104" s="1"/>
  <c r="T96" i="104"/>
  <c r="U96" i="104" s="1"/>
  <c r="W96" i="104" s="1"/>
  <c r="T97" i="104"/>
  <c r="U97" i="104" s="1"/>
  <c r="W97" i="104" s="1"/>
  <c r="T98" i="104"/>
  <c r="U98" i="104" s="1"/>
  <c r="W98" i="104" s="1"/>
  <c r="T99" i="104"/>
  <c r="U99" i="104" s="1"/>
  <c r="W99" i="104" s="1"/>
  <c r="T100" i="104"/>
  <c r="U100" i="104" s="1"/>
  <c r="W100" i="104" s="1"/>
  <c r="T101" i="104"/>
  <c r="U101" i="104" s="1"/>
  <c r="W101" i="104" s="1"/>
  <c r="T102" i="104"/>
  <c r="U102" i="104" s="1"/>
  <c r="W102" i="104" s="1"/>
  <c r="T103" i="104"/>
  <c r="U103" i="104" s="1"/>
  <c r="W103" i="104" s="1"/>
  <c r="W72" i="104" l="1"/>
  <c r="X72" i="104"/>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<sst xmlns="http://schemas.openxmlformats.org/spreadsheetml/2006/main" count="2713" uniqueCount="873">
  <si>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</si>
  <si>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</si>
  <si>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</si>
  <si>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</si>
  <si>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</si>
  <si>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</si>
  <si>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</si>
  <si>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</si>
  <si>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</si>
  <si>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</si>
  <si>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</si>
  <si>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</si>
  <si>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</si>
  <si>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</si>
  <si>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</si>
  <si>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</si>
  <si>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</si>
  <si>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</si>
  <si>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</si>
  <si>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</si>
  <si>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</si>
  <si>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</si>
  <si>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</si>
  <si>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</si>
  <si>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</si>
  <si>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</si>
  <si>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</si>
  <si>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</si>
  <si>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</si>
  <si>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</si>
  <si>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</si>
  <si>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</si>
  <si>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</si>
  <si>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</si>
  <si>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</si>
  <si>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</si>
  <si>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</si>
  <si>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</si>
  <si>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</si>
  <si>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</si>
  <si>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</si>
  <si>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</si>
  <si>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</si>
  <si>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</si>
  <si>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</si>
  <si>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</si>
  <si>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</si>
  <si>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</si>
  <si>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</si>
  <si>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</si>
  <si>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</si>
  <si>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</si>
  <si>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</si>
  <si>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</si>
  <si>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</si>
  <si>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</si>
  <si>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</si>
  <si>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</si>
  <si>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</si>
  <si>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</si>
  <si>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</si>
  <si>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</si>
  <si>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</si>
  <si>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</si>
  <si>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</si>
  <si>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</si>
  <si>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</si>
  <si>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</si>
  <si>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</si>
  <si>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</si>
  <si>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</si>
  <si>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</si>
  <si>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</si>
  <si>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</si>
  <si>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</si>
  <si>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</si>
  <si>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</si>
  <si>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</si>
  <si>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</si>
  <si>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</si>
  <si>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</si>
  <si>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</si>
  <si>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</si>
  <si>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</si>
  <si>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</si>
  <si>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</si>
  <si>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</si>
  <si>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</si>
  <si>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</si>
  <si>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</si>
  <si>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</si>
  <si>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</si>
  <si>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</si>
  <si>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</si>
  <si>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</si>
  <si>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</si>
  <si>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</si>
  <si>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</si>
  <si>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</si>
  <si>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</si>
  <si>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</si>
  <si>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</si>
  <si>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</si>
  <si>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</si>
  <si>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</si>
  <si>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</si>
  <si>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</si>
  <si>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</si>
  <si>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</si>
  <si>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</si>
  <si>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</si>
  <si>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</si>
  <si>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</si>
  <si>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</si>
  <si>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</si>
  <si>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</si>
  <si>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</si>
  <si>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</si>
  <si>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</si>
  <si>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</si>
  <si>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</si>
  <si>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</si>
  <si>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</si>
  <si>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</si>
  <si>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</si>
  <si>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</si>
  <si>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</si>
  <si>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</si>
  <si>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</si>
  <si>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</si>
  <si>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</si>
  <si>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</si>
  <si>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</si>
  <si>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</si>
  <si>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</si>
  <si>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</si>
  <si>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</si>
  <si>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</si>
  <si>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</si>
  <si>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</si>
  <si>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</si>
  <si>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</si>
  <si>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</si>
  <si>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</si>
  <si>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</si>
  <si>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</si>
  <si>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</si>
  <si>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</si>
  <si>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</si>
  <si>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</si>
  <si>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</si>
  <si>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</si>
  <si>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</si>
  <si>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</si>
  <si>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</si>
  <si>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</si>
  <si>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</si>
  <si>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</si>
  <si>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</si>
  <si>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</si>
  <si>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</si>
  <si>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</si>
  <si>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</si>
  <si>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</si>
  <si>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</si>
  <si>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</si>
  <si>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</si>
  <si>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</si>
  <si>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</si>
  <si>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</si>
  <si>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</si>
  <si>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</si>
  <si>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</si>
  <si>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</si>
  <si>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</si>
  <si>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</si>
  <si>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</si>
  <si>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</si>
  <si>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</si>
  <si>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</si>
  <si>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</si>
  <si>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</si>
  <si>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</si>
  <si>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</si>
  <si>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</si>
  <si>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</si>
  <si>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</si>
  <si>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</si>
  <si>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</si>
  <si>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</si>
  <si>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</si>
  <si>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</si>
  <si>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</si>
  <si>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</si>
  <si>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</si>
  <si>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</si>
  <si>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</si>
  <si>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</si>
  <si>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</si>
  <si>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</si>
  <si>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</si>
  <si>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</si>
  <si>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</si>
  <si>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</si>
  <si>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</si>
  <si>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</si>
  <si>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</si>
  <si>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</si>
  <si>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</si>
  <si>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</si>
  <si>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</si>
  <si>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</si>
  <si>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</si>
  <si>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</si>
  <si>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</si>
  <si>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</si>
  <si>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</si>
  <si>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</si>
  <si>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</si>
  <si>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</si>
  <si>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</si>
  <si>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</si>
  <si>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</si>
  <si>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</si>
  <si>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</si>
  <si>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</si>
  <si>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</si>
  <si>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</si>
  <si>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</si>
  <si>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</si>
  <si>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</si>
  <si>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</si>
  <si>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</si>
  <si>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</si>
  <si>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</si>
  <si>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</si>
  <si>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</si>
  <si>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</si>
  <si>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</si>
  <si>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</si>
  <si>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</si>
  <si>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</si>
  <si>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</si>
  <si>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</si>
  <si>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</si>
  <si>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</si>
  <si>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</si>
  <si>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</si>
  <si>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</si>
  <si>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</si>
  <si>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</si>
  <si>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</si>
  <si>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</si>
  <si>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</si>
  <si>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</si>
  <si>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</si>
  <si>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</si>
  <si>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</si>
  <si>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</si>
  <si>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</si>
  <si>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</si>
  <si>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</si>
  <si>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</si>
  <si>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</si>
  <si>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</si>
  <si>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</si>
  <si>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</si>
  <si>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</si>
  <si>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</si>
  <si>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</si>
  <si>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</si>
  <si>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</si>
  <si>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</si>
  <si>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</si>
  <si>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</si>
  <si>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</si>
  <si>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</si>
  <si>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</si>
  <si>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</si>
  <si>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</si>
  <si>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</si>
  <si>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</si>
  <si>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</si>
  <si>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</si>
  <si>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</si>
  <si>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</si>
  <si>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</si>
  <si>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</si>
  <si>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</si>
  <si>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</si>
  <si>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</si>
  <si>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</si>
  <si>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</si>
  <si>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</si>
  <si>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</si>
  <si>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</si>
  <si>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</si>
  <si>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</si>
  <si>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</si>
  <si>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</si>
  <si>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</si>
  <si>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</si>
  <si>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</si>
  <si>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</si>
  <si>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</si>
  <si>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</si>
  <si>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</si>
  <si>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</si>
  <si>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</si>
  <si>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</si>
  <si>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</si>
  <si>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</si>
  <si>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</si>
  <si>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</si>
  <si>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</si>
  <si>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</si>
  <si>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</si>
  <si>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</si>
  <si>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</si>
  <si>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</si>
  <si>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</si>
  <si>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</si>
  <si>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</si>
  <si>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</si>
  <si>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</si>
  <si>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</si>
  <si>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</si>
  <si>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</si>
  <si>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</si>
  <si>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</si>
  <si>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</si>
  <si>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</si>
  <si>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</si>
  <si>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</si>
  <si>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</si>
  <si>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</si>
  <si>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</si>
  <si>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</si>
  <si>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</si>
  <si>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</si>
  <si>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</si>
  <si>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</si>
  <si>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</si>
  <si>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</si>
  <si>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</si>
  <si>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</si>
  <si>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</si>
  <si>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</si>
  <si>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</si>
  <si>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</si>
  <si>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</si>
  <si>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</si>
  <si>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</si>
  <si>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</si>
  <si>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</si>
  <si>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</si>
  <si>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</si>
  <si>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</si>
  <si>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</si>
  <si>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</si>
  <si>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</si>
  <si>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</si>
  <si>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</si>
  <si>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</si>
  <si>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</si>
  <si>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</si>
  <si>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</si>
  <si>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</si>
  <si>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</si>
  <si>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</si>
  <si>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</si>
  <si>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</si>
  <si>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</si>
  <si>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</si>
  <si>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</si>
  <si>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</si>
  <si>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</si>
  <si>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</si>
  <si>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</si>
  <si>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</si>
  <si>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</si>
  <si>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</si>
  <si>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</si>
  <si>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</si>
  <si>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</si>
  <si>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</si>
  <si>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</si>
  <si>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</si>
  <si>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</si>
  <si>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</si>
  <si>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</si>
  <si>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</si>
  <si>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</si>
  <si>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</si>
  <si>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</si>
  <si>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</si>
  <si>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</si>
  <si>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</si>
  <si>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</si>
  <si>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</si>
  <si>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</si>
  <si>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</si>
  <si>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</si>
  <si>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</si>
  <si>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</si>
  <si>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</si>
  <si>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</si>
  <si>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</si>
  <si>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</si>
  <si>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</si>
  <si>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</si>
  <si>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</si>
  <si>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</si>
  <si>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</si>
  <si>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</si>
  <si>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</si>
  <si>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</si>
  <si>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</si>
  <si>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</si>
  <si>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</si>
  <si>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</si>
  <si>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</si>
  <si>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</si>
  <si>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</si>
  <si>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</si>
  <si>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</si>
  <si>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</si>
  <si>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</si>
  <si>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</si>
  <si>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</si>
  <si>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</si>
  <si>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</si>
  <si>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</si>
  <si>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</si>
  <si>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</si>
  <si>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</si>
  <si>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</si>
  <si>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</si>
  <si>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</si>
  <si>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</si>
  <si>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</si>
  <si>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</si>
  <si>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</si>
  <si>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</si>
  <si>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</si>
  <si>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</si>
  <si>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</si>
  <si>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</si>
  <si>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</si>
  <si>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</si>
  <si>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</si>
  <si>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</si>
  <si>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</si>
  <si>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</si>
  <si>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</si>
  <si>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</si>
  <si>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</si>
  <si>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</si>
  <si>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</si>
  <si>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</si>
  <si>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</si>
  <si>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</si>
  <si>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</si>
  <si>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</si>
  <si>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</si>
  <si>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</si>
  <si>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</si>
  <si>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</si>
  <si>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</si>
  <si>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</si>
  <si>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</si>
  <si>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</si>
  <si>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</si>
  <si>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</si>
  <si>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</si>
  <si>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</si>
  <si>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</si>
  <si>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</si>
  <si>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</si>
  <si>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</si>
  <si>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</si>
  <si>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</si>
  <si>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</si>
  <si>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</si>
  <si>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</si>
  <si>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</si>
  <si>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</si>
  <si>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</si>
  <si>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</si>
  <si>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</si>
  <si>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</si>
  <si>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</si>
  <si>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</si>
  <si>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</si>
  <si>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</si>
  <si>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</si>
  <si>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</si>
  <si>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</si>
  <si>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</si>
  <si>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</si>
  <si>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</si>
  <si>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</si>
  <si>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</si>
  <si>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</si>
  <si>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</si>
  <si>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</si>
  <si>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</si>
  <si>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</si>
  <si>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</si>
  <si>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</si>
  <si>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</si>
  <si>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</si>
  <si>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</si>
  <si>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</si>
  <si>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</si>
  <si>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</si>
  <si>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</si>
  <si>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</si>
  <si>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</si>
  <si>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</si>
  <si>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</si>
  <si>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</si>
  <si>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</si>
  <si>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</si>
  <si>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</si>
  <si>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</si>
  <si>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</si>
  <si>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</si>
  <si>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</si>
  <si>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</si>
  <si>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</si>
  <si>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</si>
  <si>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</si>
  <si>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</si>
  <si>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</si>
  <si>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</si>
  <si>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</si>
  <si>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</si>
  <si>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</si>
  <si>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</si>
  <si>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</si>
  <si>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</si>
  <si>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</si>
  <si>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</si>
  <si>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</si>
  <si>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</si>
  <si>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</si>
  <si>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</si>
  <si>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</si>
  <si>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</si>
  <si>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</si>
  <si>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</si>
  <si>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</si>
  <si>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</si>
  <si>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</si>
  <si>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</si>
  <si>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</si>
  <si>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</si>
  <si>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</si>
  <si>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</si>
  <si>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</si>
  <si>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</si>
  <si>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</si>
  <si>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</si>
  <si>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</si>
  <si>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</si>
  <si>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</si>
  <si>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</si>
  <si>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</si>
  <si>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</si>
  <si>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</si>
  <si>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</si>
  <si>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</si>
  <si>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</si>
  <si>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</si>
  <si>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</si>
  <si>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</si>
  <si>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</si>
  <si>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</si>
  <si>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</si>
  <si>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</si>
  <si>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</si>
  <si>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</si>
  <si>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</si>
  <si>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</si>
  <si>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</si>
  <si>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</si>
  <si>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</si>
  <si>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</si>
  <si>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</si>
  <si>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</si>
  <si>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</si>
  <si>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</si>
  <si>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</si>
  <si>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</si>
  <si>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</si>
  <si>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</si>
  <si>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</si>
  <si>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</si>
  <si>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</si>
  <si>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</si>
  <si>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</si>
  <si>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</si>
  <si>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</si>
  <si>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</si>
  <si>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</si>
  <si>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</si>
  <si>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</si>
  <si>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</si>
  <si>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</si>
  <si>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</si>
  <si>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</si>
  <si>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</si>
  <si>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</si>
  <si>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</si>
  <si>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</si>
  <si>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</si>
  <si>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</si>
  <si>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</si>
  <si>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</si>
  <si>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</si>
  <si>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</si>
  <si>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</si>
  <si>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</si>
  <si>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</si>
  <si>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</si>
  <si>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</si>
  <si>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</si>
  <si>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</si>
  <si>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</si>
  <si>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</si>
  <si>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</si>
  <si>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</si>
  <si>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</si>
  <si>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</si>
  <si>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</si>
  <si>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</si>
  <si>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</si>
  <si>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</si>
  <si>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</si>
  <si>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</si>
  <si>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</si>
  <si>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</si>
  <si>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</si>
  <si>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</si>
  <si>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</si>
  <si>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</si>
  <si>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</si>
  <si>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</si>
  <si>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</si>
  <si>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</si>
  <si>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</si>
  <si>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</si>
  <si>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</si>
  <si>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</si>
  <si>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</si>
  <si>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</si>
  <si>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</si>
  <si>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</si>
  <si>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</si>
  <si>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</si>
  <si>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</si>
  <si>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</si>
  <si>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</si>
  <si>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</si>
  <si>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</si>
  <si>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</si>
  <si>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</si>
  <si>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 2024 Allocation Factor (0% SD/FO,      100% Poor)</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</si>
  <si>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</si>
  <si>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</si>
  <si>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</si>
  <si>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</si>
  <si>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</si>
  <si>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</si>
  <si>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</si>
  <si>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</si>
  <si>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</si>
  <si>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</si>
  <si>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</si>
  <si>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</si>
  <si>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</si>
  <si>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</si>
  <si>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</si>
  <si>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</si>
  <si>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</si>
  <si>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</si>
  <si>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</si>
  <si>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</si>
  <si>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</si>
  <si>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</si>
  <si>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</si>
  <si>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</si>
  <si>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</si>
  <si>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</si>
  <si>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</si>
  <si>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</si>
  <si>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</si>
  <si>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</si>
  <si>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</si>
  <si>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</si>
  <si>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</si>
  <si>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</si>
  <si>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</si>
  <si>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</si>
  <si>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</si>
  <si>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</si>
  <si>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</si>
  <si>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</si>
  <si>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</si>
  <si>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</si>
  <si>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</si>
  <si>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</si>
  <si>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</si>
  <si>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</si>
  <si>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</si>
  <si>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</si>
  <si>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</si>
  <si>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</si>
  <si>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</si>
  <si>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</si>
  <si>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</si>
  <si>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</si>
  <si>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</si>
  <si>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</si>
  <si>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</si>
  <si>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</si>
  <si>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</si>
  <si>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</si>
  <si>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</si>
  <si>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</si>
  <si>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</si>
  <si>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</si>
  <si>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</si>
  <si>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</si>
  <si>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</si>
  <si>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</si>
  <si>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</si>
  <si>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</si>
  <si>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</si>
  <si>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</si>
  <si>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</si>
  <si>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</si>
  <si>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</si>
  <si>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</si>
  <si>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</si>
  <si>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</si>
  <si>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</si>
  <si>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</si>
  <si>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</si>
  <si>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</si>
  <si>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</si>
  <si>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</si>
  <si>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</si>
  <si>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</si>
  <si>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</si>
  <si>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</si>
  <si>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</si>
  <si>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</si>
  <si>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</si>
  <si>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</si>
  <si>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</si>
  <si>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</si>
  <si>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</si>
  <si>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</si>
  <si>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</si>
  <si>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</si>
  <si>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</si>
  <si>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</si>
  <si>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</si>
  <si>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</si>
  <si>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</si>
  <si>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</si>
  <si>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</si>
  <si>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</si>
  <si>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</si>
  <si>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</si>
  <si>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</si>
  <si>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</si>
  <si>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</si>
  <si>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</si>
  <si>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</si>
  <si>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</si>
  <si>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</si>
  <si>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</si>
  <si>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FFY'24 Sec 152 redistribution from Shawn Majors/Zac Bitting in 12/10/24 email</t>
  </si>
  <si>
    <t xml:space="preserve">FM Supplement transfer made in October of 2024 was FFY24 Monies for the 25 program.  </t>
  </si>
  <si>
    <t>FFY2024
(Actual)</t>
  </si>
  <si>
    <t>FFY2025
(Estimated)</t>
  </si>
  <si>
    <t>Highway Bridge Program (HBP) - FFY 2025</t>
  </si>
  <si>
    <r>
      <t xml:space="preserve">&lt; $67,423,744 approved by Commission + $11,223,466 STBG off-system bridge + 1/2 of </t>
    </r>
    <r>
      <rPr>
        <sz val="10"/>
        <color rgb="FF00B0F0"/>
        <rFont val="Arial"/>
        <family val="2"/>
      </rPr>
      <t>$8,149,346 Obligation Limited Sec. 152 Redistribution</t>
    </r>
  </si>
  <si>
    <t>Need updated FFY'25 amount when available.</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</si>
  <si>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</si>
  <si>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</si>
  <si>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</si>
  <si>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</si>
  <si>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</si>
  <si>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</si>
  <si>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</si>
  <si>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</si>
  <si>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</si>
  <si>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</si>
  <si>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</si>
  <si>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</si>
  <si>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</si>
  <si>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</si>
  <si>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</si>
  <si>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</si>
  <si>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</si>
  <si>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</si>
  <si>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</si>
  <si>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</si>
  <si>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</si>
  <si>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</si>
  <si>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</si>
  <si>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</si>
  <si>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</si>
  <si>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</si>
  <si>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</si>
  <si>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</si>
  <si>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</si>
  <si>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</si>
  <si>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</si>
  <si>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</si>
  <si>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</si>
  <si>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</si>
  <si>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</si>
  <si>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</si>
  <si>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</si>
  <si>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</si>
  <si>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</si>
  <si>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</si>
  <si>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</si>
  <si>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</si>
  <si>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</si>
  <si>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</si>
  <si>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</si>
  <si>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</si>
  <si>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</si>
  <si>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</si>
  <si>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</si>
  <si>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</si>
  <si>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</si>
  <si>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</si>
  <si>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</si>
  <si>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</si>
  <si>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</si>
  <si>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</si>
  <si>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</si>
  <si>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</si>
  <si>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</si>
  <si>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</si>
  <si>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</si>
  <si>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</si>
  <si>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</si>
  <si>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</si>
  <si>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</si>
  <si>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</si>
  <si>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</si>
  <si>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</si>
  <si>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</si>
  <si>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</si>
  <si>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</si>
  <si>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$20,000 in NP costs for No Excuses Road Opening Bonus</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</si>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</sst>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87">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44" fontId="2" fillId="0" borderId="88" xfId="1" applyFont="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44" fontId="2" fillId="0" borderId="64" xfId="1" applyFont="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13" xfId="1" applyFont="1" applyBorder="1"/>
    <xf numFmtId="44" fontId="2" fillId="0" borderId="157" xfId="1" applyFont="1" applyBorder="1"/>
    <xf numFmtId="44" fontId="2" fillId="0" borderId="158" xfId="1" applyFont="1" applyBorder="1"/>
    <xf numFmtId="44" fontId="2" fillId="0" borderId="35" xfId="1" applyFont="1" applyBorder="1"/>
    <xf numFmtId="44" fontId="2" fillId="0" borderId="159" xfId="1" applyFont="1" applyBorder="1"/>
    <xf numFmtId="44" fontId="2" fillId="0" borderId="160"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5" borderId="117" xfId="1" applyFont="1" applyFill="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44" fontId="2" fillId="0" borderId="88" xfId="1" applyNumberFormat="1" applyFont="1" applyBorder="1"/>
    <xf numFmtId="44" fontId="2" fillId="0" borderId="113" xfId="1" applyNumberFormat="1" applyFont="1" applyBorder="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44" fontId="2" fillId="0" borderId="157" xfId="1" applyNumberFormat="1" applyFont="1" applyBorder="1"/>
    <xf numFmtId="44" fontId="2" fillId="0" borderId="78"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44" fontId="2" fillId="0" borderId="158"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168" fontId="2" fillId="0" borderId="27"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E28" sqref="E28"/>
    </sheetView>
  </sheetViews>
  <sheetFormatPr defaultColWidth="9.140625" defaultRowHeight="11.25"/>
  <cols>
    <col min="1" max="1" width="16.42578125" style="17" bestFit="1" customWidth="1"/>
    <col min="2" max="2" width="5" style="308" bestFit="1" customWidth="1"/>
    <col min="3" max="3" width="14.42578125" style="309" bestFit="1" customWidth="1"/>
    <col min="4" max="4" width="16" style="309" bestFit="1" customWidth="1"/>
    <col min="5" max="5" width="16" style="309" customWidth="1"/>
    <col min="6" max="7" width="16" style="384" customWidth="1"/>
    <col min="8" max="9" width="16" style="314" customWidth="1"/>
    <col min="10" max="10" width="16.140625" style="311" customWidth="1"/>
    <col min="11" max="11" width="16.42578125" style="309" customWidth="1"/>
    <col min="12" max="12" width="15.28515625" style="369" bestFit="1" customWidth="1"/>
    <col min="13" max="13" width="19.5703125" style="366" bestFit="1" customWidth="1"/>
    <col min="14" max="15" width="15.7109375" style="309" bestFit="1" customWidth="1"/>
    <col min="16" max="16" width="15.28515625" style="367" hidden="1" customWidth="1"/>
    <col min="17" max="17" width="14.140625" style="367" hidden="1" customWidth="1"/>
    <col min="18" max="19" width="15" style="367" hidden="1" customWidth="1"/>
    <col min="20" max="20" width="17.7109375" style="316" customWidth="1"/>
    <col min="21" max="21" width="18.28515625" style="309" customWidth="1"/>
    <col min="22" max="22" width="17.85546875" style="368" customWidth="1"/>
    <col min="23" max="23" width="17.140625" style="368" customWidth="1"/>
    <col min="24" max="24" width="16.140625" style="313"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6" width="11.85546875" style="17" customWidth="1"/>
    <col min="47" max="48" width="11.85546875" style="31" customWidth="1"/>
    <col min="49" max="50" width="11.85546875" style="18" customWidth="1"/>
    <col min="51" max="54" width="11.85546875" style="17" customWidth="1"/>
    <col min="55" max="55" width="12.7109375" style="318" customWidth="1"/>
    <col min="56" max="56" width="74.42578125" style="17" bestFit="1" customWidth="1"/>
    <col min="57" max="16384" width="9.140625" style="17"/>
  </cols>
  <sheetData>
    <row r="1" spans="1:56" s="30" customFormat="1" ht="15">
      <c r="A1" s="849" t="s">
        <v>800</v>
      </c>
      <c r="B1" s="849"/>
      <c r="C1" s="849"/>
      <c r="D1" s="234" t="s">
        <v>107</v>
      </c>
      <c r="E1" s="235">
        <v>45740</v>
      </c>
      <c r="F1" s="385"/>
      <c r="G1" s="382"/>
      <c r="H1" s="292"/>
      <c r="I1" s="292"/>
      <c r="J1" s="393" t="s">
        <v>672</v>
      </c>
      <c r="K1" s="393" t="s">
        <v>672</v>
      </c>
      <c r="L1" s="335"/>
      <c r="M1" s="393" t="s">
        <v>672</v>
      </c>
      <c r="N1" s="335"/>
      <c r="O1" s="335"/>
      <c r="P1" s="336"/>
      <c r="Q1" s="336"/>
      <c r="R1" s="336"/>
      <c r="S1" s="336"/>
      <c r="T1" s="256"/>
      <c r="U1" s="335"/>
      <c r="V1" s="335"/>
      <c r="W1" s="393" t="s">
        <v>672</v>
      </c>
      <c r="X1" s="253"/>
      <c r="Y1" s="393" t="s">
        <v>672</v>
      </c>
      <c r="Z1" s="335"/>
      <c r="AA1" s="335"/>
      <c r="AB1" s="243" t="s">
        <v>600</v>
      </c>
      <c r="AC1" s="243" t="s">
        <v>674</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850" t="s">
        <v>0</v>
      </c>
      <c r="B2" s="852" t="s">
        <v>1</v>
      </c>
      <c r="C2" s="854" t="s">
        <v>668</v>
      </c>
      <c r="D2" s="858"/>
      <c r="E2" s="858"/>
      <c r="F2" s="858"/>
      <c r="G2" s="858"/>
      <c r="H2" s="858"/>
      <c r="I2" s="858"/>
      <c r="J2" s="858"/>
      <c r="K2" s="859"/>
      <c r="L2" s="874" t="s">
        <v>792</v>
      </c>
      <c r="M2" s="876" t="s">
        <v>793</v>
      </c>
      <c r="N2" s="864" t="s">
        <v>794</v>
      </c>
      <c r="O2" s="878"/>
      <c r="P2" s="892" t="s">
        <v>346</v>
      </c>
      <c r="Q2" s="893"/>
      <c r="R2" s="893"/>
      <c r="S2" s="894"/>
      <c r="T2" s="899" t="s">
        <v>700</v>
      </c>
      <c r="U2" s="860" t="s">
        <v>797</v>
      </c>
      <c r="V2" s="906" t="s">
        <v>639</v>
      </c>
      <c r="W2" s="860" t="s">
        <v>676</v>
      </c>
      <c r="X2" s="908" t="s">
        <v>798</v>
      </c>
      <c r="Y2" s="856" t="s">
        <v>799</v>
      </c>
      <c r="Z2" s="902" t="s">
        <v>101</v>
      </c>
      <c r="AA2" s="856" t="s">
        <v>102</v>
      </c>
      <c r="AB2" s="882" t="s">
        <v>802</v>
      </c>
      <c r="AC2" s="904" t="s">
        <v>673</v>
      </c>
      <c r="AD2" s="884" t="s">
        <v>803</v>
      </c>
      <c r="AE2" s="886" t="s">
        <v>103</v>
      </c>
      <c r="AF2" s="886"/>
      <c r="AG2" s="886"/>
      <c r="AH2" s="886"/>
      <c r="AI2" s="886"/>
      <c r="AJ2" s="886"/>
      <c r="AK2" s="886"/>
      <c r="AL2" s="886"/>
      <c r="AM2" s="886"/>
      <c r="AN2" s="886"/>
      <c r="AO2" s="886"/>
      <c r="AP2" s="886"/>
      <c r="AQ2" s="886"/>
      <c r="AR2" s="886"/>
      <c r="AS2" s="886"/>
      <c r="AT2" s="886"/>
      <c r="AU2" s="886"/>
      <c r="AV2" s="886"/>
      <c r="AW2" s="886"/>
      <c r="AX2" s="886"/>
      <c r="AY2" s="886"/>
      <c r="AZ2" s="886"/>
      <c r="BA2" s="886"/>
      <c r="BB2" s="886"/>
      <c r="BC2" s="66"/>
      <c r="BD2" s="65"/>
    </row>
    <row r="3" spans="1:56" s="62" customFormat="1" ht="15" customHeight="1">
      <c r="A3" s="850"/>
      <c r="B3" s="852"/>
      <c r="C3" s="854"/>
      <c r="D3" s="856" t="s">
        <v>599</v>
      </c>
      <c r="E3" s="864" t="s">
        <v>533</v>
      </c>
      <c r="F3" s="856" t="s">
        <v>669</v>
      </c>
      <c r="G3" s="864" t="s">
        <v>638</v>
      </c>
      <c r="H3" s="866" t="s">
        <v>787</v>
      </c>
      <c r="I3" s="868" t="s">
        <v>788</v>
      </c>
      <c r="J3" s="862" t="s">
        <v>670</v>
      </c>
      <c r="K3" s="860" t="s">
        <v>671</v>
      </c>
      <c r="L3" s="874"/>
      <c r="M3" s="876"/>
      <c r="N3" s="856" t="s">
        <v>105</v>
      </c>
      <c r="O3" s="864" t="s">
        <v>106</v>
      </c>
      <c r="P3" s="895" t="s">
        <v>795</v>
      </c>
      <c r="Q3" s="896"/>
      <c r="R3" s="897" t="s">
        <v>796</v>
      </c>
      <c r="S3" s="898"/>
      <c r="T3" s="900"/>
      <c r="U3" s="860"/>
      <c r="V3" s="906"/>
      <c r="W3" s="860"/>
      <c r="X3" s="908"/>
      <c r="Y3" s="856"/>
      <c r="Z3" s="902"/>
      <c r="AA3" s="856"/>
      <c r="AB3" s="882"/>
      <c r="AC3" s="904"/>
      <c r="AD3" s="884"/>
      <c r="AE3" s="888">
        <v>45615</v>
      </c>
      <c r="AF3" s="889"/>
      <c r="AG3" s="879">
        <v>45643</v>
      </c>
      <c r="AH3" s="880"/>
      <c r="AI3" s="881">
        <v>45679</v>
      </c>
      <c r="AJ3" s="881"/>
      <c r="AK3" s="881">
        <v>45706</v>
      </c>
      <c r="AL3" s="881"/>
      <c r="AM3" s="881">
        <v>45734</v>
      </c>
      <c r="AN3" s="881"/>
      <c r="AO3" s="881">
        <v>45762</v>
      </c>
      <c r="AP3" s="881"/>
      <c r="AQ3" s="881">
        <v>45797</v>
      </c>
      <c r="AR3" s="881"/>
      <c r="AS3" s="881">
        <v>45825</v>
      </c>
      <c r="AT3" s="890"/>
      <c r="AU3" s="872">
        <v>45853</v>
      </c>
      <c r="AV3" s="873"/>
      <c r="AW3" s="870">
        <v>45888</v>
      </c>
      <c r="AX3" s="871"/>
      <c r="AY3" s="872">
        <v>45916</v>
      </c>
      <c r="AZ3" s="873"/>
      <c r="BA3" s="872">
        <v>45951</v>
      </c>
      <c r="BB3" s="887"/>
      <c r="BC3" s="64" t="s">
        <v>108</v>
      </c>
      <c r="BD3" s="63"/>
    </row>
    <row r="4" spans="1:56" s="48" customFormat="1" ht="19.5" customHeight="1">
      <c r="A4" s="851"/>
      <c r="B4" s="853"/>
      <c r="C4" s="855"/>
      <c r="D4" s="857"/>
      <c r="E4" s="865"/>
      <c r="F4" s="857"/>
      <c r="G4" s="865"/>
      <c r="H4" s="867"/>
      <c r="I4" s="869"/>
      <c r="J4" s="863"/>
      <c r="K4" s="861"/>
      <c r="L4" s="875"/>
      <c r="M4" s="877"/>
      <c r="N4" s="857"/>
      <c r="O4" s="865"/>
      <c r="P4" s="337" t="s">
        <v>104</v>
      </c>
      <c r="Q4" s="338" t="s">
        <v>106</v>
      </c>
      <c r="R4" s="339" t="s">
        <v>104</v>
      </c>
      <c r="S4" s="340" t="s">
        <v>106</v>
      </c>
      <c r="T4" s="901"/>
      <c r="U4" s="891"/>
      <c r="V4" s="907"/>
      <c r="W4" s="861"/>
      <c r="X4" s="909"/>
      <c r="Y4" s="857"/>
      <c r="Z4" s="903"/>
      <c r="AA4" s="857"/>
      <c r="AB4" s="883"/>
      <c r="AC4" s="905"/>
      <c r="AD4" s="885"/>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80">
        <v>83152.4570538267</v>
      </c>
      <c r="F5" s="611">
        <v>396081.37477400462</v>
      </c>
      <c r="G5" s="240">
        <v>80125.84</v>
      </c>
      <c r="H5" s="432">
        <v>381248.23</v>
      </c>
      <c r="I5" s="391">
        <f>$C5*Allocations!$B$16</f>
        <v>348731.44325143535</v>
      </c>
      <c r="J5" s="237">
        <f>SUM(D5:I5)</f>
        <v>1692744.9659150871</v>
      </c>
      <c r="K5" s="165">
        <f>ROUND(AVERAGE((D5+E5),(F5+G5),H5,I5),2)</f>
        <v>423186.24</v>
      </c>
      <c r="L5" s="827">
        <v>625060.44999999995</v>
      </c>
      <c r="M5" s="430">
        <f>$L5+$I5</f>
        <v>973791.89325143537</v>
      </c>
      <c r="N5" s="239">
        <f t="shared" ref="N5:N36" si="0">AE5+AG5+AI5+AK5+AM5+AO5+AQ5+AS5+AU5+AW5+AY5+BA5+BC5</f>
        <v>0</v>
      </c>
      <c r="O5" s="240">
        <f t="shared" ref="O5:O36" si="1">AF5+AH5+AJ5+AL5+AN5+AP5+AR5+AT5+AV5+AX5+AZ5+BB5+BC5</f>
        <v>0</v>
      </c>
      <c r="P5" s="320"/>
      <c r="Q5" s="321"/>
      <c r="R5" s="321"/>
      <c r="S5" s="322"/>
      <c r="T5" s="331">
        <f>'Project Final Cost Tracking'!C4</f>
        <v>0</v>
      </c>
      <c r="U5" s="342">
        <f>$M5-$O5-$T5</f>
        <v>973791.89325143537</v>
      </c>
      <c r="V5" s="341">
        <f t="shared" ref="V5:V36" si="2">$U5/$K5</f>
        <v>2.3010953599328641</v>
      </c>
      <c r="W5" s="342">
        <f>(($H5)*4.5)+$U5</f>
        <v>2689408.928251435</v>
      </c>
      <c r="X5" s="343">
        <f t="shared" ref="X5:X36" si="3">IF((($U5-$J5)-($Q5+$S5))&gt;0,(($U5-$J5)-($Q5+$S5)),0)</f>
        <v>0</v>
      </c>
      <c r="Y5" s="239">
        <f>IF($X5&gt;0,0,($H5))</f>
        <v>381248.23</v>
      </c>
      <c r="Z5" s="255">
        <f>IF($Y5&gt;0,$Y5/$Y$104,0)</f>
        <v>6.9205325471905846E-3</v>
      </c>
      <c r="AA5" s="240">
        <f t="shared" ref="AA5:AA36" si="4">IF($Z5&gt;0,$Z5*$X$104,0)</f>
        <v>15153.288197299742</v>
      </c>
      <c r="AB5" s="236">
        <f>ROUND($C5*Allocations!$B$16,2)</f>
        <v>348731.44</v>
      </c>
      <c r="AC5" s="241">
        <f>$C5*Allocations!$B$24</f>
        <v>0</v>
      </c>
      <c r="AD5" s="244">
        <f t="shared" ref="AD5:AD36" si="5">ROUND($L5+$AB5+$AC5+$AA5-$O5-$T5-$X5,2)</f>
        <v>988945.18</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12">
        <v>587846.59627570619</v>
      </c>
      <c r="G6" s="240">
        <v>118919.25</v>
      </c>
      <c r="H6" s="432">
        <v>581363.26</v>
      </c>
      <c r="I6" s="391">
        <f>$C6*Allocations!$B$16</f>
        <v>614317.76543819741</v>
      </c>
      <c r="J6" s="237">
        <f t="shared" ref="J6:J69" si="6">SUM(D6:I6)</f>
        <v>2597044.0067701726</v>
      </c>
      <c r="K6" s="165">
        <f t="shared" ref="K6:K69" si="7">ROUND(AVERAGE((D6+E6),(F6+G6),H6,I6),2)</f>
        <v>649261</v>
      </c>
      <c r="L6" s="827">
        <v>1562515.16</v>
      </c>
      <c r="M6" s="430">
        <f t="shared" ref="M6:M69" si="8">$L6+$I6</f>
        <v>2176832.9254381973</v>
      </c>
      <c r="N6" s="239">
        <f t="shared" si="0"/>
        <v>0</v>
      </c>
      <c r="O6" s="240">
        <f t="shared" si="1"/>
        <v>0</v>
      </c>
      <c r="P6" s="320"/>
      <c r="Q6" s="321"/>
      <c r="R6" s="321"/>
      <c r="S6" s="322"/>
      <c r="T6" s="331">
        <f>'Project Final Cost Tracking'!C5</f>
        <v>0</v>
      </c>
      <c r="U6" s="342">
        <f t="shared" ref="U6:U69" si="9">$M6-$O6-$T6</f>
        <v>2176832.9254381973</v>
      </c>
      <c r="V6" s="341">
        <f t="shared" si="2"/>
        <v>3.3527855907534834</v>
      </c>
      <c r="W6" s="342">
        <f t="shared" ref="W6:W69" si="10">(($H6)*4.5)+$U6</f>
        <v>4792967.5954381973</v>
      </c>
      <c r="X6" s="343">
        <f t="shared" si="3"/>
        <v>0</v>
      </c>
      <c r="Y6" s="239">
        <f t="shared" ref="Y6:Y69" si="11">IF($X6&gt;0,0,($H6))</f>
        <v>581363.26</v>
      </c>
      <c r="Z6" s="255">
        <f t="shared" ref="Z6:Z69" si="12">IF($Y6&gt;0,$Y6/$Y$104,0)</f>
        <v>1.0553080764652526E-2</v>
      </c>
      <c r="AA6" s="240">
        <f t="shared" si="4"/>
        <v>23107.163084014061</v>
      </c>
      <c r="AB6" s="238">
        <f>ROUND($C6*Allocations!$B$16,2)</f>
        <v>614317.77</v>
      </c>
      <c r="AC6" s="241">
        <f>$C6*Allocations!$B$24</f>
        <v>0</v>
      </c>
      <c r="AD6" s="244">
        <f t="shared" si="5"/>
        <v>2199940.09</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13">
        <v>339195.77345705783</v>
      </c>
      <c r="G7" s="240">
        <v>68618.09</v>
      </c>
      <c r="H7" s="432">
        <v>325999.40000000002</v>
      </c>
      <c r="I7" s="391">
        <f>$C7*Allocations!$B$16</f>
        <v>324410.1027828356</v>
      </c>
      <c r="J7" s="387">
        <f t="shared" si="6"/>
        <v>1538771.828476687</v>
      </c>
      <c r="K7" s="165">
        <f t="shared" si="7"/>
        <v>384692.96</v>
      </c>
      <c r="L7" s="827">
        <v>-429735.75</v>
      </c>
      <c r="M7" s="430">
        <f t="shared" si="8"/>
        <v>-105325.6472171644</v>
      </c>
      <c r="N7" s="239">
        <f t="shared" si="0"/>
        <v>0</v>
      </c>
      <c r="O7" s="240">
        <f t="shared" si="1"/>
        <v>0</v>
      </c>
      <c r="P7" s="320"/>
      <c r="Q7" s="321"/>
      <c r="R7" s="321"/>
      <c r="S7" s="322"/>
      <c r="T7" s="331">
        <f>'Project Final Cost Tracking'!C6</f>
        <v>0</v>
      </c>
      <c r="U7" s="342">
        <f t="shared" si="9"/>
        <v>-105325.6472171644</v>
      </c>
      <c r="V7" s="341">
        <f t="shared" si="2"/>
        <v>-0.27379146012228661</v>
      </c>
      <c r="W7" s="342">
        <f t="shared" si="10"/>
        <v>1361671.6527828355</v>
      </c>
      <c r="X7" s="343">
        <f t="shared" si="3"/>
        <v>0</v>
      </c>
      <c r="Y7" s="239">
        <f t="shared" si="11"/>
        <v>325999.40000000002</v>
      </c>
      <c r="Z7" s="255">
        <f t="shared" si="12"/>
        <v>5.9176391666516132E-3</v>
      </c>
      <c r="AA7" s="240">
        <f t="shared" si="4"/>
        <v>12957.339789739608</v>
      </c>
      <c r="AB7" s="239">
        <f>ROUND($C7*Allocations!$B$16,2)</f>
        <v>324410.09999999998</v>
      </c>
      <c r="AC7" s="165">
        <f>$C7*Allocations!$B$24</f>
        <v>0</v>
      </c>
      <c r="AD7" s="245">
        <f t="shared" si="5"/>
        <v>-92368.31</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12">
        <v>735523.72706368018</v>
      </c>
      <c r="G8" s="240">
        <v>148793.81</v>
      </c>
      <c r="H8" s="432">
        <v>761725.65</v>
      </c>
      <c r="I8" s="391">
        <f>$C8*Allocations!$B$16</f>
        <v>734578.06256087695</v>
      </c>
      <c r="J8" s="237">
        <f t="shared" si="6"/>
        <v>3035924.4281542511</v>
      </c>
      <c r="K8" s="165">
        <f t="shared" si="7"/>
        <v>758981.11</v>
      </c>
      <c r="L8" s="827">
        <v>1222705.0900000001</v>
      </c>
      <c r="M8" s="430">
        <f t="shared" si="8"/>
        <v>1957283.1525608771</v>
      </c>
      <c r="N8" s="239">
        <f t="shared" si="0"/>
        <v>1223739.1499999999</v>
      </c>
      <c r="O8" s="240">
        <f t="shared" si="1"/>
        <v>1223739.1499999999</v>
      </c>
      <c r="P8" s="320"/>
      <c r="Q8" s="321"/>
      <c r="R8" s="321"/>
      <c r="S8" s="322"/>
      <c r="T8" s="331">
        <f>'Project Final Cost Tracking'!C7</f>
        <v>0</v>
      </c>
      <c r="U8" s="342">
        <f t="shared" si="9"/>
        <v>733544.00256087724</v>
      </c>
      <c r="V8" s="341">
        <f t="shared" si="2"/>
        <v>0.96648519033744762</v>
      </c>
      <c r="W8" s="342">
        <f t="shared" si="10"/>
        <v>4161309.4275608775</v>
      </c>
      <c r="X8" s="343">
        <f t="shared" si="3"/>
        <v>0</v>
      </c>
      <c r="Y8" s="239">
        <f t="shared" si="11"/>
        <v>761725.65</v>
      </c>
      <c r="Z8" s="255">
        <f t="shared" si="12"/>
        <v>1.3827073119408067E-2</v>
      </c>
      <c r="AA8" s="240">
        <f t="shared" si="4"/>
        <v>30275.939383969009</v>
      </c>
      <c r="AB8" s="238">
        <f>ROUND($C8*Allocations!$B$16,2)</f>
        <v>734578.06</v>
      </c>
      <c r="AC8" s="241">
        <f>$C8*Allocations!$B$24</f>
        <v>0</v>
      </c>
      <c r="AD8" s="244">
        <f t="shared" si="5"/>
        <v>763819.94</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6">
        <v>275350.51652813668</v>
      </c>
      <c r="E9" s="344">
        <v>56756.948385885808</v>
      </c>
      <c r="F9" s="610">
        <v>335263.20313078968</v>
      </c>
      <c r="G9" s="344">
        <v>67822.539999999994</v>
      </c>
      <c r="H9" s="433">
        <v>272705.39</v>
      </c>
      <c r="I9" s="392">
        <f>$C9*Allocations!$B$16</f>
        <v>295270.21442286822</v>
      </c>
      <c r="J9" s="388">
        <f t="shared" si="6"/>
        <v>1303168.8124676803</v>
      </c>
      <c r="K9" s="168">
        <f t="shared" si="7"/>
        <v>325792.2</v>
      </c>
      <c r="L9" s="828">
        <v>-111023.63</v>
      </c>
      <c r="M9" s="431">
        <f t="shared" si="8"/>
        <v>184246.58442286821</v>
      </c>
      <c r="N9" s="306">
        <f t="shared" si="0"/>
        <v>0</v>
      </c>
      <c r="O9" s="344">
        <f t="shared" si="1"/>
        <v>0</v>
      </c>
      <c r="P9" s="345"/>
      <c r="Q9" s="346"/>
      <c r="R9" s="346"/>
      <c r="S9" s="347"/>
      <c r="T9" s="188">
        <f>'Project Final Cost Tracking'!C8</f>
        <v>0</v>
      </c>
      <c r="U9" s="349">
        <f t="shared" si="9"/>
        <v>184246.58442286821</v>
      </c>
      <c r="V9" s="348">
        <f t="shared" si="2"/>
        <v>0.56553405644109411</v>
      </c>
      <c r="W9" s="349">
        <f t="shared" si="10"/>
        <v>1411420.8394228683</v>
      </c>
      <c r="X9" s="350">
        <f t="shared" si="3"/>
        <v>0</v>
      </c>
      <c r="Y9" s="306">
        <f t="shared" si="11"/>
        <v>272705.39</v>
      </c>
      <c r="Z9" s="351">
        <f t="shared" si="12"/>
        <v>4.9502302667458996E-3</v>
      </c>
      <c r="AA9" s="344">
        <f t="shared" si="4"/>
        <v>10839.088663118577</v>
      </c>
      <c r="AB9" s="233">
        <f>ROUND($C9*Allocations!$B$16,2)</f>
        <v>295270.21000000002</v>
      </c>
      <c r="AC9" s="242">
        <f>$C9*Allocations!$B$24</f>
        <v>0</v>
      </c>
      <c r="AD9" s="246">
        <f t="shared" si="5"/>
        <v>195085.67</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12">
        <v>1196782.4137933981</v>
      </c>
      <c r="G10" s="240">
        <v>242104.78</v>
      </c>
      <c r="H10" s="432">
        <v>1069866.6000000001</v>
      </c>
      <c r="I10" s="391">
        <f>$C10*Allocations!$B$16</f>
        <v>1153723.6032763338</v>
      </c>
      <c r="J10" s="237">
        <f t="shared" si="6"/>
        <v>5123828.3627152592</v>
      </c>
      <c r="K10" s="165">
        <f t="shared" si="7"/>
        <v>1280957.0900000001</v>
      </c>
      <c r="L10" s="827">
        <v>4300813.4800000004</v>
      </c>
      <c r="M10" s="430">
        <f t="shared" si="8"/>
        <v>5454537.0832763342</v>
      </c>
      <c r="N10" s="239">
        <f t="shared" si="0"/>
        <v>459494.21</v>
      </c>
      <c r="O10" s="240">
        <f t="shared" si="1"/>
        <v>459494.21</v>
      </c>
      <c r="P10" s="320"/>
      <c r="Q10" s="321"/>
      <c r="R10" s="321"/>
      <c r="S10" s="322"/>
      <c r="T10" s="331">
        <f>'Project Final Cost Tracking'!C9</f>
        <v>0</v>
      </c>
      <c r="U10" s="342">
        <f t="shared" si="9"/>
        <v>4995042.8732763343</v>
      </c>
      <c r="V10" s="341">
        <f t="shared" si="2"/>
        <v>3.8994615137938258</v>
      </c>
      <c r="W10" s="342">
        <f t="shared" si="10"/>
        <v>9809442.5732763335</v>
      </c>
      <c r="X10" s="343">
        <f t="shared" si="3"/>
        <v>0</v>
      </c>
      <c r="Y10" s="239">
        <f t="shared" si="11"/>
        <v>1069866.6000000001</v>
      </c>
      <c r="Z10" s="255">
        <f t="shared" si="12"/>
        <v>1.942054032998955E-2</v>
      </c>
      <c r="AA10" s="240">
        <f t="shared" si="4"/>
        <v>42523.468036730839</v>
      </c>
      <c r="AB10" s="238">
        <f>ROUND($C10*Allocations!$B$16,2)</f>
        <v>1153723.6000000001</v>
      </c>
      <c r="AC10" s="241">
        <f>$C10*Allocations!$B$24</f>
        <v>0</v>
      </c>
      <c r="AD10" s="244">
        <f t="shared" si="5"/>
        <v>5037566.34</v>
      </c>
      <c r="AE10" s="153">
        <f>Benton!C18</f>
        <v>459494.21</v>
      </c>
      <c r="AF10" s="141">
        <f>Benton!D18</f>
        <v>459494.21</v>
      </c>
      <c r="AG10" s="151"/>
      <c r="AH10" s="146"/>
      <c r="AI10" s="145"/>
      <c r="AJ10" s="146"/>
      <c r="AK10" s="151"/>
      <c r="AL10" s="146"/>
      <c r="AM10" s="145"/>
      <c r="AN10" s="146"/>
      <c r="AO10" s="145"/>
      <c r="AP10" s="146"/>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12">
        <v>594373.39187911677</v>
      </c>
      <c r="G11" s="240">
        <v>120239.6</v>
      </c>
      <c r="H11" s="432">
        <v>542010.05000000005</v>
      </c>
      <c r="I11" s="391">
        <f>$C11*Allocations!$B$16</f>
        <v>555350.36833701259</v>
      </c>
      <c r="J11" s="237">
        <f t="shared" si="6"/>
        <v>2409652.5083626867</v>
      </c>
      <c r="K11" s="165">
        <f t="shared" si="7"/>
        <v>602413.13</v>
      </c>
      <c r="L11" s="827">
        <v>-468782.27</v>
      </c>
      <c r="M11" s="430">
        <f t="shared" si="8"/>
        <v>86568.098337012576</v>
      </c>
      <c r="N11" s="239">
        <f t="shared" si="0"/>
        <v>495774.71</v>
      </c>
      <c r="O11" s="240">
        <f t="shared" si="1"/>
        <v>495774.71</v>
      </c>
      <c r="P11" s="320"/>
      <c r="Q11" s="321"/>
      <c r="R11" s="321"/>
      <c r="S11" s="322"/>
      <c r="T11" s="331">
        <f>'Project Final Cost Tracking'!C10</f>
        <v>0</v>
      </c>
      <c r="U11" s="342">
        <f t="shared" si="9"/>
        <v>-409206.61166298745</v>
      </c>
      <c r="V11" s="341">
        <f t="shared" si="2"/>
        <v>-0.67927903839510839</v>
      </c>
      <c r="W11" s="342">
        <f t="shared" si="10"/>
        <v>2029838.6133370127</v>
      </c>
      <c r="X11" s="343">
        <f t="shared" si="3"/>
        <v>0</v>
      </c>
      <c r="Y11" s="239">
        <f t="shared" si="11"/>
        <v>542010.05000000005</v>
      </c>
      <c r="Z11" s="255">
        <f t="shared" si="12"/>
        <v>9.8387294596210886E-3</v>
      </c>
      <c r="AA11" s="240">
        <f t="shared" si="4"/>
        <v>21543.010162913659</v>
      </c>
      <c r="AB11" s="238">
        <f>ROUND($C11*Allocations!$B$16,2)</f>
        <v>555350.37</v>
      </c>
      <c r="AC11" s="241">
        <f>$C11*Allocations!$B$24</f>
        <v>0</v>
      </c>
      <c r="AD11" s="244">
        <f t="shared" si="5"/>
        <v>-387663.6</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12">
        <v>556008.6365862689</v>
      </c>
      <c r="G12" s="240">
        <v>112478.55</v>
      </c>
      <c r="H12" s="432">
        <v>500689.89</v>
      </c>
      <c r="I12" s="391">
        <f>$C12*Allocations!$B$16</f>
        <v>493100.09416037035</v>
      </c>
      <c r="J12" s="237">
        <f t="shared" si="6"/>
        <v>2392727.8192968373</v>
      </c>
      <c r="K12" s="165">
        <f t="shared" si="7"/>
        <v>598181.94999999995</v>
      </c>
      <c r="L12" s="827">
        <v>1419214.22</v>
      </c>
      <c r="M12" s="430">
        <f t="shared" si="8"/>
        <v>1912314.3141603703</v>
      </c>
      <c r="N12" s="239">
        <f t="shared" si="0"/>
        <v>586206.17000000004</v>
      </c>
      <c r="O12" s="240">
        <f t="shared" si="1"/>
        <v>586206.17000000004</v>
      </c>
      <c r="P12" s="320"/>
      <c r="Q12" s="321"/>
      <c r="R12" s="321"/>
      <c r="S12" s="322"/>
      <c r="T12" s="331">
        <f>'Project Final Cost Tracking'!C11</f>
        <v>0</v>
      </c>
      <c r="U12" s="342">
        <f t="shared" si="9"/>
        <v>1326108.1441603703</v>
      </c>
      <c r="V12" s="341">
        <f t="shared" si="2"/>
        <v>2.2168976248119328</v>
      </c>
      <c r="W12" s="342">
        <f t="shared" si="10"/>
        <v>3579212.6491603702</v>
      </c>
      <c r="X12" s="343">
        <f t="shared" si="3"/>
        <v>0</v>
      </c>
      <c r="Y12" s="239">
        <f t="shared" si="11"/>
        <v>500689.89</v>
      </c>
      <c r="Z12" s="255">
        <f t="shared" si="12"/>
        <v>9.0886734865477901E-3</v>
      </c>
      <c r="AA12" s="240">
        <f t="shared" si="4"/>
        <v>19900.677835656592</v>
      </c>
      <c r="AB12" s="238">
        <f>ROUND($C12*Allocations!$B$16,2)</f>
        <v>493100.09</v>
      </c>
      <c r="AC12" s="241">
        <f>$C12*Allocations!$B$24</f>
        <v>0</v>
      </c>
      <c r="AD12" s="244">
        <f t="shared" si="5"/>
        <v>1346008.82</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12">
        <v>615501.00002574816</v>
      </c>
      <c r="G13" s="240">
        <v>124513.64</v>
      </c>
      <c r="H13" s="432">
        <v>643523.68999999994</v>
      </c>
      <c r="I13" s="391">
        <f>$C13*Allocations!$B$16</f>
        <v>624308.19722241024</v>
      </c>
      <c r="J13" s="237">
        <f t="shared" si="6"/>
        <v>2781193.1587156965</v>
      </c>
      <c r="K13" s="165">
        <f t="shared" si="7"/>
        <v>695298.29</v>
      </c>
      <c r="L13" s="827">
        <v>116033.9</v>
      </c>
      <c r="M13" s="430">
        <f t="shared" si="8"/>
        <v>740342.09722241026</v>
      </c>
      <c r="N13" s="239">
        <f t="shared" si="0"/>
        <v>0</v>
      </c>
      <c r="O13" s="240">
        <f t="shared" si="1"/>
        <v>0</v>
      </c>
      <c r="P13" s="320"/>
      <c r="Q13" s="321"/>
      <c r="R13" s="321"/>
      <c r="S13" s="322"/>
      <c r="T13" s="331">
        <f>'Project Final Cost Tracking'!C12</f>
        <v>0</v>
      </c>
      <c r="U13" s="342">
        <f t="shared" si="9"/>
        <v>740342.09722241026</v>
      </c>
      <c r="V13" s="341">
        <f t="shared" si="2"/>
        <v>1.0647834287387794</v>
      </c>
      <c r="W13" s="342">
        <f t="shared" si="10"/>
        <v>3636198.7022224097</v>
      </c>
      <c r="X13" s="343">
        <f t="shared" si="3"/>
        <v>0</v>
      </c>
      <c r="Y13" s="239">
        <f t="shared" si="11"/>
        <v>643523.68999999994</v>
      </c>
      <c r="Z13" s="255">
        <f t="shared" si="12"/>
        <v>1.1681435587342094E-2</v>
      </c>
      <c r="AA13" s="240">
        <f t="shared" si="4"/>
        <v>25577.823499298021</v>
      </c>
      <c r="AB13" s="238">
        <f>ROUND($C13*Allocations!$B$16,2)</f>
        <v>624308.19999999995</v>
      </c>
      <c r="AC13" s="241">
        <f>$C13*Allocations!$B$24</f>
        <v>0</v>
      </c>
      <c r="AD13" s="244">
        <f t="shared" si="5"/>
        <v>765919.92</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6">
        <v>514655.55744305119</v>
      </c>
      <c r="E14" s="344">
        <v>106083.98080604179</v>
      </c>
      <c r="F14" s="610">
        <v>495462.25985607883</v>
      </c>
      <c r="G14" s="344">
        <v>100230.24</v>
      </c>
      <c r="H14" s="433">
        <v>482381.38</v>
      </c>
      <c r="I14" s="392">
        <f>$C14*Allocations!$B$16</f>
        <v>460133.97676358616</v>
      </c>
      <c r="J14" s="388">
        <f t="shared" si="6"/>
        <v>2158947.394868758</v>
      </c>
      <c r="K14" s="168">
        <f t="shared" si="7"/>
        <v>539736.85</v>
      </c>
      <c r="L14" s="828">
        <v>552193.57999999996</v>
      </c>
      <c r="M14" s="431">
        <f t="shared" si="8"/>
        <v>1012327.5567635861</v>
      </c>
      <c r="N14" s="306">
        <f t="shared" si="0"/>
        <v>609788.25</v>
      </c>
      <c r="O14" s="344">
        <f t="shared" si="1"/>
        <v>609788.25</v>
      </c>
      <c r="P14" s="345"/>
      <c r="Q14" s="346"/>
      <c r="R14" s="346"/>
      <c r="S14" s="347"/>
      <c r="T14" s="188">
        <f>'Project Final Cost Tracking'!C13</f>
        <v>0</v>
      </c>
      <c r="U14" s="349">
        <f t="shared" si="9"/>
        <v>402539.30676358612</v>
      </c>
      <c r="V14" s="348">
        <f t="shared" si="2"/>
        <v>0.74580660328007276</v>
      </c>
      <c r="W14" s="349">
        <f t="shared" si="10"/>
        <v>2573255.5167635861</v>
      </c>
      <c r="X14" s="350">
        <f t="shared" si="3"/>
        <v>0</v>
      </c>
      <c r="Y14" s="306">
        <f t="shared" si="11"/>
        <v>482381.38</v>
      </c>
      <c r="Z14" s="351">
        <f t="shared" si="12"/>
        <v>8.7563319059834315E-3</v>
      </c>
      <c r="AA14" s="344">
        <f t="shared" si="4"/>
        <v>19172.978382486293</v>
      </c>
      <c r="AB14" s="233">
        <f>ROUND($C14*Allocations!$B$16,2)</f>
        <v>460133.98</v>
      </c>
      <c r="AC14" s="242">
        <f>$C14*Allocations!$B$24</f>
        <v>0</v>
      </c>
      <c r="AD14" s="246">
        <f t="shared" si="5"/>
        <v>421712.29</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13">
        <v>481158.59270769783</v>
      </c>
      <c r="G15" s="240">
        <v>97336.65</v>
      </c>
      <c r="H15" s="432">
        <v>493181.92</v>
      </c>
      <c r="I15" s="391">
        <f>$C15*Allocations!$B$16</f>
        <v>521415.31533605652</v>
      </c>
      <c r="J15" s="387">
        <f t="shared" si="6"/>
        <v>2187806.9507243503</v>
      </c>
      <c r="K15" s="165">
        <f t="shared" si="7"/>
        <v>546951.74</v>
      </c>
      <c r="L15" s="827">
        <v>1255251.03</v>
      </c>
      <c r="M15" s="430">
        <f t="shared" si="8"/>
        <v>1776666.3453360565</v>
      </c>
      <c r="N15" s="239">
        <f t="shared" si="0"/>
        <v>0</v>
      </c>
      <c r="O15" s="240">
        <f t="shared" si="1"/>
        <v>0</v>
      </c>
      <c r="P15" s="320"/>
      <c r="Q15" s="321"/>
      <c r="R15" s="321"/>
      <c r="S15" s="322"/>
      <c r="T15" s="331">
        <f>'Project Final Cost Tracking'!C14</f>
        <v>0</v>
      </c>
      <c r="U15" s="342">
        <f t="shared" si="9"/>
        <v>1776666.3453360565</v>
      </c>
      <c r="V15" s="341">
        <f t="shared" si="2"/>
        <v>3.2483055001087604</v>
      </c>
      <c r="W15" s="342">
        <f t="shared" si="10"/>
        <v>3995984.9853360569</v>
      </c>
      <c r="X15" s="343">
        <f t="shared" si="3"/>
        <v>0</v>
      </c>
      <c r="Y15" s="239">
        <f t="shared" si="11"/>
        <v>493181.92</v>
      </c>
      <c r="Z15" s="255">
        <f t="shared" si="12"/>
        <v>8.9523865567741594E-3</v>
      </c>
      <c r="AA15" s="240">
        <f t="shared" si="4"/>
        <v>19602.262199243847</v>
      </c>
      <c r="AB15" s="239">
        <f>ROUND($C15*Allocations!$B$16,2)</f>
        <v>521415.32</v>
      </c>
      <c r="AC15" s="165">
        <f>$C15*Allocations!$B$24</f>
        <v>0</v>
      </c>
      <c r="AD15" s="245">
        <f t="shared" si="5"/>
        <v>1796268.61</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12">
        <v>819357.36094093649</v>
      </c>
      <c r="G16" s="240">
        <v>165753.04999999999</v>
      </c>
      <c r="H16" s="432">
        <v>818559.71</v>
      </c>
      <c r="I16" s="391">
        <f>$C16*Allocations!$B$16</f>
        <v>867965.99969922076</v>
      </c>
      <c r="J16" s="237">
        <f t="shared" si="6"/>
        <v>3680106.111912718</v>
      </c>
      <c r="K16" s="165">
        <f t="shared" si="7"/>
        <v>920026.53</v>
      </c>
      <c r="L16" s="827">
        <v>2018973.78</v>
      </c>
      <c r="M16" s="430">
        <f t="shared" si="8"/>
        <v>2886939.7796992208</v>
      </c>
      <c r="N16" s="239">
        <f t="shared" si="0"/>
        <v>1190121</v>
      </c>
      <c r="O16" s="240">
        <f t="shared" si="1"/>
        <v>1190121</v>
      </c>
      <c r="P16" s="320"/>
      <c r="Q16" s="321"/>
      <c r="R16" s="321"/>
      <c r="S16" s="322"/>
      <c r="T16" s="331">
        <f>'Project Final Cost Tracking'!C15</f>
        <v>0</v>
      </c>
      <c r="U16" s="342">
        <f t="shared" si="9"/>
        <v>1696818.7796992208</v>
      </c>
      <c r="V16" s="341">
        <f t="shared" si="2"/>
        <v>1.8443150543704656</v>
      </c>
      <c r="W16" s="342">
        <f t="shared" si="10"/>
        <v>5380337.4746992206</v>
      </c>
      <c r="X16" s="343">
        <f t="shared" si="3"/>
        <v>0</v>
      </c>
      <c r="Y16" s="239">
        <f t="shared" si="11"/>
        <v>818559.71</v>
      </c>
      <c r="Z16" s="255">
        <f t="shared" si="12"/>
        <v>1.4858742071730761E-2</v>
      </c>
      <c r="AA16" s="240">
        <f t="shared" si="4"/>
        <v>32534.895158275485</v>
      </c>
      <c r="AB16" s="238">
        <f>ROUND($C16*Allocations!$B$16,2)</f>
        <v>867966</v>
      </c>
      <c r="AC16" s="241">
        <f>$C16*Allocations!$B$24</f>
        <v>0</v>
      </c>
      <c r="AD16" s="244">
        <f t="shared" si="5"/>
        <v>1729353.68</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12">
        <v>571121.62795504939</v>
      </c>
      <c r="G17" s="240">
        <v>115535.85</v>
      </c>
      <c r="H17" s="432">
        <v>549909.07999999996</v>
      </c>
      <c r="I17" s="391">
        <f>$C17*Allocations!$B$16</f>
        <v>574138.75843410136</v>
      </c>
      <c r="J17" s="237">
        <f t="shared" si="6"/>
        <v>2279430.2337677493</v>
      </c>
      <c r="K17" s="165">
        <f t="shared" si="7"/>
        <v>569857.56000000006</v>
      </c>
      <c r="L17" s="827">
        <v>690951.57</v>
      </c>
      <c r="M17" s="430">
        <f t="shared" si="8"/>
        <v>1265090.3284341013</v>
      </c>
      <c r="N17" s="239">
        <f t="shared" si="0"/>
        <v>594238.19999999995</v>
      </c>
      <c r="O17" s="240">
        <f t="shared" si="1"/>
        <v>594238.19999999995</v>
      </c>
      <c r="P17" s="320"/>
      <c r="Q17" s="321"/>
      <c r="R17" s="321"/>
      <c r="S17" s="322"/>
      <c r="T17" s="331">
        <f>'Project Final Cost Tracking'!C16</f>
        <v>-48968.139999999898</v>
      </c>
      <c r="U17" s="342">
        <f t="shared" si="9"/>
        <v>719820.26843410125</v>
      </c>
      <c r="V17" s="341">
        <f t="shared" si="2"/>
        <v>1.2631582327943516</v>
      </c>
      <c r="W17" s="342">
        <f t="shared" si="10"/>
        <v>3194411.1284341011</v>
      </c>
      <c r="X17" s="343">
        <f t="shared" si="3"/>
        <v>0</v>
      </c>
      <c r="Y17" s="239">
        <f t="shared" si="11"/>
        <v>549909.07999999996</v>
      </c>
      <c r="Z17" s="255">
        <f t="shared" si="12"/>
        <v>9.9821150281422435E-3</v>
      </c>
      <c r="AA17" s="240">
        <f t="shared" si="4"/>
        <v>21856.969071179577</v>
      </c>
      <c r="AB17" s="238">
        <f>ROUND($C17*Allocations!$B$16,2)</f>
        <v>574138.76</v>
      </c>
      <c r="AC17" s="241">
        <f>$C17*Allocations!$B$24</f>
        <v>0</v>
      </c>
      <c r="AD17" s="244">
        <f t="shared" si="5"/>
        <v>741677.24</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12">
        <v>240608.73688574985</v>
      </c>
      <c r="G18" s="240">
        <v>48674.28</v>
      </c>
      <c r="H18" s="432">
        <v>248596.88</v>
      </c>
      <c r="I18" s="391">
        <f>$C18*Allocations!$B$16</f>
        <v>259697.79142830247</v>
      </c>
      <c r="J18" s="237">
        <f t="shared" si="6"/>
        <v>1089439.4665783071</v>
      </c>
      <c r="K18" s="165">
        <f t="shared" si="7"/>
        <v>272359.87</v>
      </c>
      <c r="L18" s="827">
        <v>711389.12</v>
      </c>
      <c r="M18" s="430">
        <f t="shared" si="8"/>
        <v>971086.91142830253</v>
      </c>
      <c r="N18" s="239">
        <f t="shared" si="0"/>
        <v>294123</v>
      </c>
      <c r="O18" s="240">
        <f t="shared" si="1"/>
        <v>294123</v>
      </c>
      <c r="P18" s="320"/>
      <c r="Q18" s="321"/>
      <c r="R18" s="321"/>
      <c r="S18" s="322"/>
      <c r="T18" s="331">
        <f>'Project Final Cost Tracking'!C17</f>
        <v>0</v>
      </c>
      <c r="U18" s="342">
        <f t="shared" si="9"/>
        <v>676963.91142830253</v>
      </c>
      <c r="V18" s="341">
        <f t="shared" si="2"/>
        <v>2.4855493998741536</v>
      </c>
      <c r="W18" s="342">
        <f t="shared" si="10"/>
        <v>1795649.8714283025</v>
      </c>
      <c r="X18" s="343">
        <f t="shared" si="3"/>
        <v>0</v>
      </c>
      <c r="Y18" s="239">
        <f t="shared" si="11"/>
        <v>248596.88</v>
      </c>
      <c r="Z18" s="255">
        <f t="shared" si="12"/>
        <v>4.5126053415907854E-3</v>
      </c>
      <c r="AA18" s="240">
        <f t="shared" si="4"/>
        <v>9880.8594274379739</v>
      </c>
      <c r="AB18" s="238">
        <f>ROUND($C18*Allocations!$B$16,2)</f>
        <v>259697.79</v>
      </c>
      <c r="AC18" s="241">
        <f>$C18*Allocations!$B$24</f>
        <v>0</v>
      </c>
      <c r="AD18" s="244">
        <f t="shared" si="5"/>
        <v>686844.77</v>
      </c>
      <c r="AE18" s="153"/>
      <c r="AF18" s="141"/>
      <c r="AG18" s="151"/>
      <c r="AH18" s="146"/>
      <c r="AI18" s="145"/>
      <c r="AJ18" s="146"/>
      <c r="AK18" s="151"/>
      <c r="AL18" s="146"/>
      <c r="AM18" s="145">
        <f>Carroll!C7+Carroll!C8</f>
        <v>294123</v>
      </c>
      <c r="AN18" s="146">
        <f>Carroll!D7+Carroll!D8</f>
        <v>294123</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6">
        <v>1093392.9621616802</v>
      </c>
      <c r="E19" s="344">
        <v>225376.90759174561</v>
      </c>
      <c r="F19" s="610">
        <v>1083942.0967563614</v>
      </c>
      <c r="G19" s="344">
        <v>219277.59</v>
      </c>
      <c r="H19" s="433">
        <v>1077480.25</v>
      </c>
      <c r="I19" s="392">
        <f>$C19*Allocations!$B$16</f>
        <v>994430.47439967189</v>
      </c>
      <c r="J19" s="388">
        <f t="shared" si="6"/>
        <v>4693900.2809094591</v>
      </c>
      <c r="K19" s="168">
        <f t="shared" si="7"/>
        <v>1173475.07</v>
      </c>
      <c r="L19" s="828">
        <v>841604</v>
      </c>
      <c r="M19" s="431">
        <f t="shared" si="8"/>
        <v>1836034.4743996719</v>
      </c>
      <c r="N19" s="306">
        <f>AE19+AG19+AI19+AK19+AM19+AO19+AQ19+AS19+AU19+AW19+AY19+BA19+BC19</f>
        <v>1065076.25</v>
      </c>
      <c r="O19" s="344">
        <f>AF19+AH19+AJ19+AL19+AN19+AP19+AR19+AT19+AV19+AX19+AZ19+BB19+BC19</f>
        <v>1065076.25</v>
      </c>
      <c r="P19" s="345"/>
      <c r="Q19" s="346"/>
      <c r="R19" s="346"/>
      <c r="S19" s="347"/>
      <c r="T19" s="188">
        <f>'Project Final Cost Tracking'!C18</f>
        <v>0</v>
      </c>
      <c r="U19" s="349">
        <f t="shared" si="9"/>
        <v>770958.22439967189</v>
      </c>
      <c r="V19" s="348">
        <f t="shared" si="2"/>
        <v>0.65698730557579876</v>
      </c>
      <c r="W19" s="349">
        <f t="shared" si="10"/>
        <v>5619619.3493996719</v>
      </c>
      <c r="X19" s="350">
        <f t="shared" si="3"/>
        <v>0</v>
      </c>
      <c r="Y19" s="306">
        <f t="shared" si="11"/>
        <v>1077480.25</v>
      </c>
      <c r="Z19" s="351">
        <f t="shared" si="12"/>
        <v>1.9558745594910821E-2</v>
      </c>
      <c r="AA19" s="344">
        <f t="shared" si="4"/>
        <v>42826.084084766961</v>
      </c>
      <c r="AB19" s="233">
        <f>ROUND($C19*Allocations!$B$16,2)</f>
        <v>994430.47</v>
      </c>
      <c r="AC19" s="242">
        <f>$C19*Allocations!$B$24</f>
        <v>0</v>
      </c>
      <c r="AD19" s="246">
        <f t="shared" si="5"/>
        <v>813784.3</v>
      </c>
      <c r="AE19" s="162"/>
      <c r="AF19" s="159"/>
      <c r="AG19" s="174"/>
      <c r="AH19" s="157"/>
      <c r="AI19" s="156">
        <f>Cass!C13+Cass!C14</f>
        <v>1065076.25</v>
      </c>
      <c r="AJ19" s="157">
        <f>Cass!D13+Cass!D14</f>
        <v>1065076.25</v>
      </c>
      <c r="AK19" s="174"/>
      <c r="AL19" s="157"/>
      <c r="AM19" s="156"/>
      <c r="AN19" s="157"/>
      <c r="AO19" s="156"/>
      <c r="AP19" s="157"/>
      <c r="AQ19" s="156"/>
      <c r="AR19" s="157"/>
      <c r="AS19" s="156"/>
      <c r="AT19" s="157"/>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12">
        <v>1091800.2409413976</v>
      </c>
      <c r="G20" s="240">
        <v>220867.27</v>
      </c>
      <c r="H20" s="432">
        <v>1225393.17</v>
      </c>
      <c r="I20" s="391">
        <f>$C20*Allocations!$B$16</f>
        <v>1169223.2466952251</v>
      </c>
      <c r="J20" s="237">
        <f t="shared" si="6"/>
        <v>5060656.521866614</v>
      </c>
      <c r="K20" s="165">
        <f t="shared" si="7"/>
        <v>1265164.1299999999</v>
      </c>
      <c r="L20" s="827">
        <v>1286053.7</v>
      </c>
      <c r="M20" s="430">
        <f t="shared" si="8"/>
        <v>2455276.9466952253</v>
      </c>
      <c r="N20" s="239">
        <f t="shared" si="0"/>
        <v>677380.07</v>
      </c>
      <c r="O20" s="240">
        <f t="shared" si="1"/>
        <v>677380.07</v>
      </c>
      <c r="P20" s="320"/>
      <c r="Q20" s="321"/>
      <c r="R20" s="321"/>
      <c r="S20" s="322"/>
      <c r="T20" s="331">
        <f>'Project Final Cost Tracking'!C19</f>
        <v>0</v>
      </c>
      <c r="U20" s="342">
        <f t="shared" si="9"/>
        <v>1777896.8766952255</v>
      </c>
      <c r="V20" s="341">
        <f t="shared" si="2"/>
        <v>1.4052697468550785</v>
      </c>
      <c r="W20" s="342">
        <f t="shared" si="10"/>
        <v>7292166.1416952256</v>
      </c>
      <c r="X20" s="343">
        <f t="shared" si="3"/>
        <v>0</v>
      </c>
      <c r="Y20" s="239">
        <f t="shared" si="11"/>
        <v>1225393.17</v>
      </c>
      <c r="Z20" s="255">
        <f t="shared" si="12"/>
        <v>2.22437054097013E-2</v>
      </c>
      <c r="AA20" s="240">
        <f t="shared" si="4"/>
        <v>48705.107063743526</v>
      </c>
      <c r="AB20" s="238">
        <f>ROUND($C20*Allocations!$B$16,2)</f>
        <v>1169223.25</v>
      </c>
      <c r="AC20" s="241">
        <f>$C20*Allocations!$B$24</f>
        <v>0</v>
      </c>
      <c r="AD20" s="244">
        <f t="shared" si="5"/>
        <v>1826601.99</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12">
        <v>277728.87752350344</v>
      </c>
      <c r="G21" s="240">
        <v>56183.55</v>
      </c>
      <c r="H21" s="432">
        <v>251329.83</v>
      </c>
      <c r="I21" s="391">
        <f>$C21*Allocations!$B$16</f>
        <v>245040.0593244943</v>
      </c>
      <c r="J21" s="237">
        <f t="shared" si="6"/>
        <v>1189111.2131165811</v>
      </c>
      <c r="K21" s="165">
        <f t="shared" si="7"/>
        <v>297277.8</v>
      </c>
      <c r="L21" s="827">
        <v>714428.55</v>
      </c>
      <c r="M21" s="430">
        <f t="shared" si="8"/>
        <v>959468.60932449438</v>
      </c>
      <c r="N21" s="239">
        <f t="shared" si="0"/>
        <v>0</v>
      </c>
      <c r="O21" s="240">
        <f t="shared" si="1"/>
        <v>0</v>
      </c>
      <c r="P21" s="320"/>
      <c r="Q21" s="321"/>
      <c r="R21" s="321"/>
      <c r="S21" s="322"/>
      <c r="T21" s="331">
        <f>'Project Final Cost Tracking'!C20</f>
        <v>0</v>
      </c>
      <c r="U21" s="342">
        <f t="shared" si="9"/>
        <v>959468.60932449438</v>
      </c>
      <c r="V21" s="341">
        <f t="shared" si="2"/>
        <v>3.2275151704045659</v>
      </c>
      <c r="W21" s="342">
        <f t="shared" si="10"/>
        <v>2090452.8443244942</v>
      </c>
      <c r="X21" s="343">
        <f t="shared" si="3"/>
        <v>0</v>
      </c>
      <c r="Y21" s="239">
        <f t="shared" si="11"/>
        <v>251329.83</v>
      </c>
      <c r="Z21" s="255">
        <f t="shared" si="12"/>
        <v>4.5622146720389403E-3</v>
      </c>
      <c r="AA21" s="240">
        <f t="shared" si="4"/>
        <v>9989.4846634916848</v>
      </c>
      <c r="AB21" s="238">
        <f>ROUND($C21*Allocations!$B$16,2)</f>
        <v>245040.06</v>
      </c>
      <c r="AC21" s="241">
        <f>$C21*Allocations!$B$24</f>
        <v>0</v>
      </c>
      <c r="AD21" s="244">
        <f t="shared" si="5"/>
        <v>969458.09</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12">
        <v>631962.72609770345</v>
      </c>
      <c r="G22" s="240">
        <v>127843.79</v>
      </c>
      <c r="H22" s="432">
        <v>640833.61</v>
      </c>
      <c r="I22" s="391">
        <f>$C22*Allocations!$B$16</f>
        <v>380853.54705842043</v>
      </c>
      <c r="J22" s="237">
        <f t="shared" si="6"/>
        <v>2391762.2278264728</v>
      </c>
      <c r="K22" s="165">
        <f t="shared" si="7"/>
        <v>597940.56000000006</v>
      </c>
      <c r="L22" s="827">
        <v>1090452.2</v>
      </c>
      <c r="M22" s="430">
        <f t="shared" si="8"/>
        <v>1471305.7470584204</v>
      </c>
      <c r="N22" s="239">
        <f t="shared" si="0"/>
        <v>1491087.15</v>
      </c>
      <c r="O22" s="240">
        <f t="shared" si="1"/>
        <v>1491087.15</v>
      </c>
      <c r="P22" s="320"/>
      <c r="Q22" s="321"/>
      <c r="R22" s="321"/>
      <c r="S22" s="322"/>
      <c r="T22" s="331">
        <f>'Project Final Cost Tracking'!C21</f>
        <v>0</v>
      </c>
      <c r="U22" s="342">
        <f t="shared" si="9"/>
        <v>-19781.402941579465</v>
      </c>
      <c r="V22" s="341">
        <f t="shared" si="2"/>
        <v>-3.3082557472902431E-2</v>
      </c>
      <c r="W22" s="342">
        <f t="shared" si="10"/>
        <v>2863969.8420584206</v>
      </c>
      <c r="X22" s="343">
        <f t="shared" si="3"/>
        <v>0</v>
      </c>
      <c r="Y22" s="239">
        <f t="shared" si="11"/>
        <v>640833.61</v>
      </c>
      <c r="Z22" s="255">
        <f t="shared" si="12"/>
        <v>1.1632604446028871E-2</v>
      </c>
      <c r="AA22" s="240">
        <f t="shared" si="4"/>
        <v>25470.902196309176</v>
      </c>
      <c r="AB22" s="238">
        <f>ROUND($C22*Allocations!$B$16,2)</f>
        <v>380853.55</v>
      </c>
      <c r="AC22" s="241">
        <f>$C22*Allocations!$B$24</f>
        <v>0</v>
      </c>
      <c r="AD22" s="244">
        <f t="shared" si="5"/>
        <v>5689.5</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12">
        <v>1105435.4006953507</v>
      </c>
      <c r="G23" s="240">
        <v>223625.61</v>
      </c>
      <c r="H23" s="432">
        <v>1063078.8799999999</v>
      </c>
      <c r="I23" s="391">
        <f>$C23*Allocations!$B$16</f>
        <v>1025169.7615119182</v>
      </c>
      <c r="J23" s="237">
        <f t="shared" si="6"/>
        <v>4512344.7429383155</v>
      </c>
      <c r="K23" s="165">
        <f t="shared" si="7"/>
        <v>1128086.19</v>
      </c>
      <c r="L23" s="827">
        <v>115012.77</v>
      </c>
      <c r="M23" s="430">
        <f t="shared" si="8"/>
        <v>1140182.5315119182</v>
      </c>
      <c r="N23" s="239">
        <f t="shared" si="0"/>
        <v>2062252.33</v>
      </c>
      <c r="O23" s="240">
        <f t="shared" si="1"/>
        <v>2062252.33</v>
      </c>
      <c r="P23" s="320"/>
      <c r="Q23" s="321"/>
      <c r="R23" s="321"/>
      <c r="S23" s="322"/>
      <c r="T23" s="331">
        <f>'Project Final Cost Tracking'!C22</f>
        <v>0</v>
      </c>
      <c r="U23" s="342">
        <f t="shared" si="9"/>
        <v>-922069.7984880819</v>
      </c>
      <c r="V23" s="341">
        <f t="shared" si="2"/>
        <v>-0.81737530931752822</v>
      </c>
      <c r="W23" s="342">
        <f t="shared" si="10"/>
        <v>3861785.1615119171</v>
      </c>
      <c r="X23" s="343">
        <f t="shared" si="3"/>
        <v>0</v>
      </c>
      <c r="Y23" s="239">
        <f t="shared" si="11"/>
        <v>1063078.8799999999</v>
      </c>
      <c r="Z23" s="255">
        <f t="shared" si="12"/>
        <v>1.9297327594861E-2</v>
      </c>
      <c r="AA23" s="240">
        <f t="shared" si="4"/>
        <v>42253.679827189299</v>
      </c>
      <c r="AB23" s="238">
        <f>ROUND($C23*Allocations!$B$16,2)</f>
        <v>1025169.76</v>
      </c>
      <c r="AC23" s="241">
        <f>$C23*Allocations!$B$24</f>
        <v>0</v>
      </c>
      <c r="AD23" s="244">
        <f t="shared" si="5"/>
        <v>-879816.12</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6">
        <v>359830.82811762934</v>
      </c>
      <c r="E24" s="344">
        <v>74170.551763014126</v>
      </c>
      <c r="F24" s="610">
        <v>320213.83594471309</v>
      </c>
      <c r="G24" s="344">
        <v>64778.11</v>
      </c>
      <c r="H24" s="433">
        <v>332281.53999999998</v>
      </c>
      <c r="I24" s="392">
        <f>$C24*Allocations!$B$16</f>
        <v>342688.59784764686</v>
      </c>
      <c r="J24" s="388">
        <f t="shared" si="6"/>
        <v>1493963.4636730033</v>
      </c>
      <c r="K24" s="168">
        <f t="shared" si="7"/>
        <v>373490.87</v>
      </c>
      <c r="L24" s="828">
        <v>-714602.64</v>
      </c>
      <c r="M24" s="431">
        <f t="shared" si="8"/>
        <v>-371914.04215235315</v>
      </c>
      <c r="N24" s="306">
        <f t="shared" si="0"/>
        <v>0</v>
      </c>
      <c r="O24" s="344">
        <f t="shared" si="1"/>
        <v>0</v>
      </c>
      <c r="P24" s="345"/>
      <c r="Q24" s="346"/>
      <c r="R24" s="346"/>
      <c r="S24" s="347"/>
      <c r="T24" s="188">
        <f>'Project Final Cost Tracking'!C23</f>
        <v>0</v>
      </c>
      <c r="U24" s="349">
        <f t="shared" si="9"/>
        <v>-371914.04215235315</v>
      </c>
      <c r="V24" s="348">
        <f t="shared" si="2"/>
        <v>-0.99577813549325356</v>
      </c>
      <c r="W24" s="349">
        <f t="shared" si="10"/>
        <v>1123352.8878476468</v>
      </c>
      <c r="X24" s="350">
        <f t="shared" si="3"/>
        <v>0</v>
      </c>
      <c r="Y24" s="306">
        <f t="shared" si="11"/>
        <v>332281.53999999998</v>
      </c>
      <c r="Z24" s="351">
        <f t="shared" si="12"/>
        <v>6.0316744615459853E-3</v>
      </c>
      <c r="AA24" s="344">
        <f t="shared" si="4"/>
        <v>13207.032956618792</v>
      </c>
      <c r="AB24" s="233">
        <f>ROUND($C24*Allocations!$B$16,2)</f>
        <v>342688.6</v>
      </c>
      <c r="AC24" s="242">
        <f>$C24*Allocations!$B$24</f>
        <v>0</v>
      </c>
      <c r="AD24" s="246">
        <f t="shared" si="5"/>
        <v>-358707.01</v>
      </c>
      <c r="AE24" s="162"/>
      <c r="AF24" s="159"/>
      <c r="AG24" s="174"/>
      <c r="AH24" s="157"/>
      <c r="AI24" s="156"/>
      <c r="AJ24" s="157"/>
      <c r="AK24" s="174"/>
      <c r="AL24" s="157"/>
      <c r="AM24" s="156"/>
      <c r="AN24" s="157"/>
      <c r="AO24" s="156"/>
      <c r="AP24" s="157"/>
      <c r="AQ24" s="156"/>
      <c r="AR24" s="157"/>
      <c r="AS24" s="156"/>
      <c r="AT24" s="157"/>
      <c r="AU24" s="156"/>
      <c r="AV24" s="157"/>
      <c r="AW24" s="158"/>
      <c r="AX24" s="159"/>
      <c r="AY24" s="156"/>
      <c r="AZ24" s="157"/>
      <c r="BA24" s="160"/>
      <c r="BB24" s="161"/>
      <c r="BC24" s="180"/>
      <c r="BD24" s="176"/>
    </row>
    <row r="25" spans="1:56" s="30" customFormat="1" ht="12.75">
      <c r="A25" s="97" t="s">
        <v>22</v>
      </c>
      <c r="B25" s="47">
        <v>21</v>
      </c>
      <c r="C25" s="247">
        <v>8.7796193159841596E-3</v>
      </c>
      <c r="D25" s="239">
        <v>492063.58162225125</v>
      </c>
      <c r="E25" s="240">
        <v>101427.18327479294</v>
      </c>
      <c r="F25" s="612">
        <v>539937.90327052074</v>
      </c>
      <c r="G25" s="240">
        <v>109227.5</v>
      </c>
      <c r="H25" s="432">
        <v>499473.76</v>
      </c>
      <c r="I25" s="391">
        <f>$C25*Allocations!$B$16</f>
        <v>507300.64462009526</v>
      </c>
      <c r="J25" s="237">
        <f t="shared" si="6"/>
        <v>2249430.5727876602</v>
      </c>
      <c r="K25" s="165">
        <f t="shared" si="7"/>
        <v>562357.64</v>
      </c>
      <c r="L25" s="827">
        <v>1486571</v>
      </c>
      <c r="M25" s="430">
        <f t="shared" si="8"/>
        <v>1993871.6446200954</v>
      </c>
      <c r="N25" s="239">
        <f t="shared" si="0"/>
        <v>0</v>
      </c>
      <c r="O25" s="240">
        <f t="shared" si="1"/>
        <v>0</v>
      </c>
      <c r="P25" s="320"/>
      <c r="Q25" s="321"/>
      <c r="R25" s="321"/>
      <c r="S25" s="322"/>
      <c r="T25" s="331">
        <f>'Project Final Cost Tracking'!C24</f>
        <v>0</v>
      </c>
      <c r="U25" s="342">
        <f t="shared" si="9"/>
        <v>1993871.6446200954</v>
      </c>
      <c r="V25" s="341">
        <f t="shared" si="2"/>
        <v>3.5455580271303782</v>
      </c>
      <c r="W25" s="342">
        <f t="shared" si="10"/>
        <v>4241503.5646200953</v>
      </c>
      <c r="X25" s="343">
        <f t="shared" si="3"/>
        <v>0</v>
      </c>
      <c r="Y25" s="239">
        <f t="shared" si="11"/>
        <v>499473.76</v>
      </c>
      <c r="Z25" s="255">
        <f t="shared" si="12"/>
        <v>9.0665979289862118E-3</v>
      </c>
      <c r="AA25" s="240">
        <f t="shared" si="4"/>
        <v>19852.340907311031</v>
      </c>
      <c r="AB25" s="238">
        <f>ROUND($C25*Allocations!$B$16,2)</f>
        <v>507300.64</v>
      </c>
      <c r="AC25" s="241">
        <f>$C25*Allocations!$B$24</f>
        <v>0</v>
      </c>
      <c r="AD25" s="244">
        <f t="shared" si="5"/>
        <v>2013723.98</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12">
        <v>345031.4415975986</v>
      </c>
      <c r="G26" s="240">
        <v>69798.62</v>
      </c>
      <c r="H26" s="432">
        <v>316907.18</v>
      </c>
      <c r="I26" s="391">
        <f>$C26*Allocations!$B$16</f>
        <v>315642.89086512045</v>
      </c>
      <c r="J26" s="237">
        <f t="shared" si="6"/>
        <v>1513721.6460207794</v>
      </c>
      <c r="K26" s="165">
        <f t="shared" si="7"/>
        <v>378430.41</v>
      </c>
      <c r="L26" s="827">
        <v>947621.34</v>
      </c>
      <c r="M26" s="430">
        <f t="shared" si="8"/>
        <v>1263264.2308651204</v>
      </c>
      <c r="N26" s="239">
        <f t="shared" si="0"/>
        <v>342999.76</v>
      </c>
      <c r="O26" s="240">
        <f t="shared" si="1"/>
        <v>342999.76</v>
      </c>
      <c r="P26" s="320"/>
      <c r="Q26" s="321"/>
      <c r="R26" s="321"/>
      <c r="S26" s="322"/>
      <c r="T26" s="331">
        <f>'Project Final Cost Tracking'!C25</f>
        <v>0</v>
      </c>
      <c r="U26" s="342">
        <f t="shared" si="9"/>
        <v>920264.47086512041</v>
      </c>
      <c r="V26" s="341">
        <f t="shared" si="2"/>
        <v>2.4317931290593706</v>
      </c>
      <c r="W26" s="342">
        <f t="shared" si="10"/>
        <v>2346346.7808651207</v>
      </c>
      <c r="X26" s="343">
        <f t="shared" si="3"/>
        <v>0</v>
      </c>
      <c r="Y26" s="239">
        <f t="shared" si="11"/>
        <v>316907.18</v>
      </c>
      <c r="Z26" s="255">
        <f t="shared" si="12"/>
        <v>5.7525944543490339E-3</v>
      </c>
      <c r="AA26" s="240">
        <f t="shared" si="4"/>
        <v>12595.955738164461</v>
      </c>
      <c r="AB26" s="238">
        <f>ROUND($C26*Allocations!$B$16,2)</f>
        <v>315642.89</v>
      </c>
      <c r="AC26" s="241">
        <f>$C26*Allocations!$B$24</f>
        <v>0</v>
      </c>
      <c r="AD26" s="244">
        <f t="shared" si="5"/>
        <v>932860.43</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12">
        <v>389713.11084326735</v>
      </c>
      <c r="G27" s="240">
        <v>78837.56</v>
      </c>
      <c r="H27" s="432">
        <v>395625.1</v>
      </c>
      <c r="I27" s="391">
        <f>$C27*Allocations!$B$16</f>
        <v>395406.6823540483</v>
      </c>
      <c r="J27" s="237">
        <f t="shared" si="6"/>
        <v>1744997.5676691807</v>
      </c>
      <c r="K27" s="165">
        <f t="shared" si="7"/>
        <v>436249.39</v>
      </c>
      <c r="L27" s="827">
        <v>533936.25</v>
      </c>
      <c r="M27" s="430">
        <f t="shared" si="8"/>
        <v>929342.93235404836</v>
      </c>
      <c r="N27" s="239">
        <f t="shared" si="0"/>
        <v>2553178</v>
      </c>
      <c r="O27" s="240">
        <f t="shared" si="1"/>
        <v>2553178</v>
      </c>
      <c r="P27" s="320"/>
      <c r="Q27" s="321"/>
      <c r="R27" s="321"/>
      <c r="S27" s="322"/>
      <c r="T27" s="331">
        <f>'Project Final Cost Tracking'!C26</f>
        <v>0</v>
      </c>
      <c r="U27" s="342">
        <f t="shared" si="9"/>
        <v>-1623835.0676459516</v>
      </c>
      <c r="V27" s="341">
        <f t="shared" si="2"/>
        <v>-3.7222632394877424</v>
      </c>
      <c r="W27" s="342">
        <f t="shared" si="10"/>
        <v>156477.88235404831</v>
      </c>
      <c r="X27" s="343">
        <f t="shared" si="3"/>
        <v>0</v>
      </c>
      <c r="Y27" s="239">
        <f t="shared" si="11"/>
        <v>395625.1</v>
      </c>
      <c r="Z27" s="255">
        <f t="shared" si="12"/>
        <v>7.1815058158710135E-3</v>
      </c>
      <c r="AA27" s="240">
        <f t="shared" si="4"/>
        <v>15724.718665278866</v>
      </c>
      <c r="AB27" s="238">
        <f>ROUND($C27*Allocations!$B$16,2)</f>
        <v>395406.68</v>
      </c>
      <c r="AC27" s="241">
        <f>$C27*Allocations!$B$24</f>
        <v>0</v>
      </c>
      <c r="AD27" s="244">
        <f t="shared" si="5"/>
        <v>-1608110.35</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12">
        <v>451157.07248440007</v>
      </c>
      <c r="G28" s="240">
        <v>91267.46</v>
      </c>
      <c r="H28" s="432">
        <v>490407.88</v>
      </c>
      <c r="I28" s="391">
        <f>$C28*Allocations!$B$16</f>
        <v>463652.12656907918</v>
      </c>
      <c r="J28" s="237">
        <f t="shared" si="6"/>
        <v>2090528.9427007944</v>
      </c>
      <c r="K28" s="165">
        <f t="shared" si="7"/>
        <v>522632.24</v>
      </c>
      <c r="L28" s="827">
        <v>-1957187.15</v>
      </c>
      <c r="M28" s="430">
        <f t="shared" si="8"/>
        <v>-1493535.0234309207</v>
      </c>
      <c r="N28" s="239">
        <f t="shared" si="0"/>
        <v>0</v>
      </c>
      <c r="O28" s="240">
        <f t="shared" si="1"/>
        <v>0</v>
      </c>
      <c r="P28" s="320"/>
      <c r="Q28" s="321"/>
      <c r="R28" s="321"/>
      <c r="S28" s="322"/>
      <c r="T28" s="331">
        <f>'Project Final Cost Tracking'!C27</f>
        <v>-48340.760000000009</v>
      </c>
      <c r="U28" s="342">
        <f t="shared" si="9"/>
        <v>-1445194.2634309207</v>
      </c>
      <c r="V28" s="341">
        <f t="shared" si="2"/>
        <v>-2.7652221826784369</v>
      </c>
      <c r="W28" s="342">
        <f t="shared" si="10"/>
        <v>761641.1965690793</v>
      </c>
      <c r="X28" s="343">
        <f t="shared" si="3"/>
        <v>0</v>
      </c>
      <c r="Y28" s="239">
        <f t="shared" si="11"/>
        <v>490407.88</v>
      </c>
      <c r="Z28" s="255">
        <f t="shared" si="12"/>
        <v>8.9020313482864825E-3</v>
      </c>
      <c r="AA28" s="240">
        <f t="shared" si="4"/>
        <v>19492.003778920596</v>
      </c>
      <c r="AB28" s="238">
        <f>ROUND($C28*Allocations!$B$16,2)</f>
        <v>463652.13</v>
      </c>
      <c r="AC28" s="241">
        <f>$C28*Allocations!$B$24</f>
        <v>0</v>
      </c>
      <c r="AD28" s="244">
        <f t="shared" si="5"/>
        <v>-1425702.26</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6">
        <v>391469.04883427813</v>
      </c>
      <c r="E29" s="344">
        <v>80692.017140590789</v>
      </c>
      <c r="F29" s="610">
        <v>380524.10360093351</v>
      </c>
      <c r="G29" s="344">
        <v>76978.66</v>
      </c>
      <c r="H29" s="433">
        <v>366335.89</v>
      </c>
      <c r="I29" s="392">
        <f>$C29*Allocations!$B$16</f>
        <v>364848.60121175152</v>
      </c>
      <c r="J29" s="388">
        <f t="shared" si="6"/>
        <v>1660848.3207875541</v>
      </c>
      <c r="K29" s="168">
        <f t="shared" si="7"/>
        <v>415212.08</v>
      </c>
      <c r="L29" s="828">
        <v>723373.29</v>
      </c>
      <c r="M29" s="431">
        <f t="shared" si="8"/>
        <v>1088221.8912117516</v>
      </c>
      <c r="N29" s="306">
        <f t="shared" si="0"/>
        <v>0</v>
      </c>
      <c r="O29" s="344">
        <f t="shared" si="1"/>
        <v>0</v>
      </c>
      <c r="P29" s="345"/>
      <c r="Q29" s="346"/>
      <c r="R29" s="346"/>
      <c r="S29" s="347"/>
      <c r="T29" s="188">
        <f>'Project Final Cost Tracking'!C28</f>
        <v>0</v>
      </c>
      <c r="U29" s="349">
        <f t="shared" si="9"/>
        <v>1088221.8912117516</v>
      </c>
      <c r="V29" s="348">
        <f t="shared" si="2"/>
        <v>2.6208820591437312</v>
      </c>
      <c r="W29" s="349">
        <f t="shared" si="10"/>
        <v>2736733.3962117517</v>
      </c>
      <c r="X29" s="350">
        <f t="shared" si="3"/>
        <v>0</v>
      </c>
      <c r="Y29" s="306">
        <f t="shared" si="11"/>
        <v>366335.89</v>
      </c>
      <c r="Z29" s="351">
        <f t="shared" si="12"/>
        <v>6.6498392660053265E-3</v>
      </c>
      <c r="AA29" s="344">
        <f t="shared" si="4"/>
        <v>14560.574663348067</v>
      </c>
      <c r="AB29" s="233">
        <f>ROUND($C29*Allocations!$B$16,2)</f>
        <v>364848.6</v>
      </c>
      <c r="AC29" s="242">
        <f>$C29*Allocations!$B$24</f>
        <v>0</v>
      </c>
      <c r="AD29" s="246">
        <f t="shared" si="5"/>
        <v>1102782.46</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12">
        <v>696437.81193386612</v>
      </c>
      <c r="G30" s="240">
        <v>140886.87</v>
      </c>
      <c r="H30" s="432">
        <v>759186.2</v>
      </c>
      <c r="I30" s="391">
        <f>$C30*Allocations!$B$16</f>
        <v>752012.80881461769</v>
      </c>
      <c r="J30" s="237">
        <f t="shared" si="6"/>
        <v>3209440.5608720742</v>
      </c>
      <c r="K30" s="165">
        <f t="shared" si="7"/>
        <v>802360.14</v>
      </c>
      <c r="L30" s="827">
        <v>578587.06999999995</v>
      </c>
      <c r="M30" s="430">
        <f t="shared" si="8"/>
        <v>1330599.8788146176</v>
      </c>
      <c r="N30" s="239">
        <f t="shared" si="0"/>
        <v>0</v>
      </c>
      <c r="O30" s="240">
        <f t="shared" si="1"/>
        <v>0</v>
      </c>
      <c r="P30" s="320"/>
      <c r="Q30" s="321"/>
      <c r="R30" s="321"/>
      <c r="S30" s="322"/>
      <c r="T30" s="331">
        <f>'Project Final Cost Tracking'!C29</f>
        <v>0</v>
      </c>
      <c r="U30" s="342">
        <f t="shared" si="9"/>
        <v>1330599.8788146176</v>
      </c>
      <c r="V30" s="341">
        <f t="shared" si="2"/>
        <v>1.6583574039640325</v>
      </c>
      <c r="W30" s="342">
        <f t="shared" si="10"/>
        <v>4746937.7788146175</v>
      </c>
      <c r="X30" s="343">
        <f t="shared" si="3"/>
        <v>0</v>
      </c>
      <c r="Y30" s="239">
        <f t="shared" si="11"/>
        <v>759186.2</v>
      </c>
      <c r="Z30" s="255">
        <f t="shared" si="12"/>
        <v>1.3780976259163066E-2</v>
      </c>
      <c r="AA30" s="240">
        <f t="shared" si="4"/>
        <v>30175.005098418005</v>
      </c>
      <c r="AB30" s="238">
        <f>ROUND($C30*Allocations!$B$16,2)</f>
        <v>752012.81</v>
      </c>
      <c r="AC30" s="241">
        <f>$C30*Allocations!$B$24</f>
        <v>0</v>
      </c>
      <c r="AD30" s="244">
        <f t="shared" si="5"/>
        <v>1360774.89</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12">
        <v>938979.74253536842</v>
      </c>
      <c r="G31" s="240">
        <v>189952.23</v>
      </c>
      <c r="H31" s="432">
        <v>899523.49</v>
      </c>
      <c r="I31" s="391">
        <f>$C31*Allocations!$B$16</f>
        <v>897104.7605955865</v>
      </c>
      <c r="J31" s="237">
        <f t="shared" si="6"/>
        <v>3848596.7421058039</v>
      </c>
      <c r="K31" s="165">
        <f t="shared" si="7"/>
        <v>962149.19</v>
      </c>
      <c r="L31" s="827">
        <v>2491604.02</v>
      </c>
      <c r="M31" s="430">
        <f t="shared" si="8"/>
        <v>3388708.7805955866</v>
      </c>
      <c r="N31" s="239">
        <f t="shared" si="0"/>
        <v>0</v>
      </c>
      <c r="O31" s="240">
        <f t="shared" si="1"/>
        <v>0</v>
      </c>
      <c r="P31" s="320"/>
      <c r="Q31" s="321"/>
      <c r="R31" s="321"/>
      <c r="S31" s="322"/>
      <c r="T31" s="331">
        <f>'Project Final Cost Tracking'!C30</f>
        <v>0</v>
      </c>
      <c r="U31" s="342">
        <f t="shared" si="9"/>
        <v>3388708.7805955866</v>
      </c>
      <c r="V31" s="341">
        <f t="shared" si="2"/>
        <v>3.5220200939893602</v>
      </c>
      <c r="W31" s="342">
        <f t="shared" si="10"/>
        <v>7436564.4855955867</v>
      </c>
      <c r="X31" s="343">
        <f t="shared" si="3"/>
        <v>0</v>
      </c>
      <c r="Y31" s="239">
        <f t="shared" si="11"/>
        <v>899523.49</v>
      </c>
      <c r="Z31" s="255">
        <f t="shared" si="12"/>
        <v>1.6328420959508361E-2</v>
      </c>
      <c r="AA31" s="240">
        <f t="shared" si="4"/>
        <v>35752.923191829301</v>
      </c>
      <c r="AB31" s="238">
        <f>ROUND($C31*Allocations!$B$16,2)</f>
        <v>897104.76</v>
      </c>
      <c r="AC31" s="241">
        <f>$C31*Allocations!$B$24</f>
        <v>0</v>
      </c>
      <c r="AD31" s="244">
        <f t="shared" si="5"/>
        <v>3424461.7</v>
      </c>
      <c r="AE31" s="153"/>
      <c r="AF31" s="141"/>
      <c r="AG31" s="151"/>
      <c r="AH31" s="146"/>
      <c r="AI31" s="145"/>
      <c r="AJ31" s="165"/>
      <c r="AK31" s="151"/>
      <c r="AL31" s="146"/>
      <c r="AM31" s="145"/>
      <c r="AN31" s="146"/>
      <c r="AO31" s="145"/>
      <c r="AP31" s="146"/>
      <c r="AQ31" s="145"/>
      <c r="AR31" s="146"/>
      <c r="AS31" s="145"/>
      <c r="AT31" s="146"/>
      <c r="AU31" s="145"/>
      <c r="AV31" s="146"/>
      <c r="AW31" s="148"/>
      <c r="AX31" s="141"/>
      <c r="AY31" s="145"/>
      <c r="AZ31" s="146"/>
      <c r="BA31" s="149"/>
      <c r="BB31" s="150"/>
      <c r="BC31" s="179"/>
      <c r="BD31" s="176"/>
    </row>
    <row r="32" spans="1:56" s="30" customFormat="1" ht="12.75">
      <c r="A32" s="97" t="s">
        <v>29</v>
      </c>
      <c r="B32" s="47">
        <v>28</v>
      </c>
      <c r="C32" s="247">
        <v>5.3566297208579227E-3</v>
      </c>
      <c r="D32" s="239">
        <v>320493.22923441563</v>
      </c>
      <c r="E32" s="240">
        <v>66062.043024440194</v>
      </c>
      <c r="F32" s="612">
        <v>316892.73334399785</v>
      </c>
      <c r="G32" s="240">
        <v>64106.26</v>
      </c>
      <c r="H32" s="432">
        <v>283071.94</v>
      </c>
      <c r="I32" s="391">
        <f>$C32*Allocations!$B$16</f>
        <v>309514.75372457801</v>
      </c>
      <c r="J32" s="237">
        <f t="shared" si="6"/>
        <v>1360140.9593274316</v>
      </c>
      <c r="K32" s="165">
        <f t="shared" si="7"/>
        <v>340035.24</v>
      </c>
      <c r="L32" s="827">
        <v>-804092.04</v>
      </c>
      <c r="M32" s="430">
        <f t="shared" si="8"/>
        <v>-494577.28627542203</v>
      </c>
      <c r="N32" s="239">
        <f t="shared" si="0"/>
        <v>102951</v>
      </c>
      <c r="O32" s="240">
        <f t="shared" si="1"/>
        <v>102951</v>
      </c>
      <c r="P32" s="320"/>
      <c r="Q32" s="321"/>
      <c r="R32" s="321"/>
      <c r="S32" s="322"/>
      <c r="T32" s="331">
        <f>'Project Final Cost Tracking'!C31</f>
        <v>0</v>
      </c>
      <c r="U32" s="342">
        <f t="shared" si="9"/>
        <v>-597528.28627542197</v>
      </c>
      <c r="V32" s="341">
        <f t="shared" si="2"/>
        <v>-1.75725400189528</v>
      </c>
      <c r="W32" s="342">
        <f t="shared" si="10"/>
        <v>676295.44372457801</v>
      </c>
      <c r="X32" s="343">
        <f t="shared" si="3"/>
        <v>0</v>
      </c>
      <c r="Y32" s="239">
        <f t="shared" si="11"/>
        <v>283071.94</v>
      </c>
      <c r="Z32" s="255">
        <f t="shared" si="12"/>
        <v>5.1384070005161212E-3</v>
      </c>
      <c r="AA32" s="240">
        <f t="shared" si="4"/>
        <v>11251.122890167229</v>
      </c>
      <c r="AB32" s="238">
        <f>ROUND($C32*Allocations!$B$16,2)</f>
        <v>309514.75</v>
      </c>
      <c r="AC32" s="241">
        <f>$C32*Allocations!$B$24</f>
        <v>0</v>
      </c>
      <c r="AD32" s="244">
        <f t="shared" si="5"/>
        <v>-586277.17000000004</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12">
        <v>475206.28891101276</v>
      </c>
      <c r="G33" s="240">
        <v>96132.53</v>
      </c>
      <c r="H33" s="432">
        <v>477064.31</v>
      </c>
      <c r="I33" s="391">
        <f>$C33*Allocations!$B$16</f>
        <v>464437.58638016909</v>
      </c>
      <c r="J33" s="237">
        <f t="shared" si="6"/>
        <v>2119088.1343301358</v>
      </c>
      <c r="K33" s="165">
        <f t="shared" si="7"/>
        <v>529772.03</v>
      </c>
      <c r="L33" s="827">
        <v>621470.18000000005</v>
      </c>
      <c r="M33" s="430">
        <f t="shared" si="8"/>
        <v>1085907.7663801692</v>
      </c>
      <c r="N33" s="239">
        <f t="shared" si="0"/>
        <v>2254835.9500000002</v>
      </c>
      <c r="O33" s="240">
        <f t="shared" si="1"/>
        <v>2254835.9500000002</v>
      </c>
      <c r="P33" s="320"/>
      <c r="Q33" s="321"/>
      <c r="R33" s="321"/>
      <c r="S33" s="322"/>
      <c r="T33" s="331">
        <f>'Project Final Cost Tracking'!C32</f>
        <v>0</v>
      </c>
      <c r="U33" s="342">
        <f t="shared" si="9"/>
        <v>-1168928.183619831</v>
      </c>
      <c r="V33" s="341">
        <f t="shared" si="2"/>
        <v>-2.2064739499739745</v>
      </c>
      <c r="W33" s="342">
        <f t="shared" si="10"/>
        <v>977861.21138016903</v>
      </c>
      <c r="X33" s="343">
        <f t="shared" si="3"/>
        <v>0</v>
      </c>
      <c r="Y33" s="239">
        <f t="shared" si="11"/>
        <v>477064.31</v>
      </c>
      <c r="Z33" s="255">
        <f t="shared" si="12"/>
        <v>8.6598148520139195E-3</v>
      </c>
      <c r="AA33" s="240">
        <f t="shared" si="4"/>
        <v>18961.643384091109</v>
      </c>
      <c r="AB33" s="238">
        <f>ROUND($C33*Allocations!$B$16,2)</f>
        <v>464437.59</v>
      </c>
      <c r="AC33" s="241">
        <f>$C33*Allocations!$B$24</f>
        <v>0</v>
      </c>
      <c r="AD33" s="244">
        <f t="shared" si="5"/>
        <v>-1149966.54</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6">
        <v>293835.90340709774</v>
      </c>
      <c r="E34" s="344">
        <v>60567.270451779281</v>
      </c>
      <c r="F34" s="610">
        <v>288501.29835852166</v>
      </c>
      <c r="G34" s="344">
        <v>58362.78</v>
      </c>
      <c r="H34" s="433">
        <v>309243.49</v>
      </c>
      <c r="I34" s="392">
        <f>$C34*Allocations!$B$16</f>
        <v>275796.32021271531</v>
      </c>
      <c r="J34" s="388">
        <f t="shared" si="6"/>
        <v>1286307.062430114</v>
      </c>
      <c r="K34" s="168">
        <f t="shared" si="7"/>
        <v>321576.77</v>
      </c>
      <c r="L34" s="828">
        <v>556839.46</v>
      </c>
      <c r="M34" s="431">
        <f t="shared" si="8"/>
        <v>832635.78021271527</v>
      </c>
      <c r="N34" s="306">
        <f t="shared" si="0"/>
        <v>0</v>
      </c>
      <c r="O34" s="344">
        <f t="shared" si="1"/>
        <v>0</v>
      </c>
      <c r="P34" s="345"/>
      <c r="Q34" s="346"/>
      <c r="R34" s="346"/>
      <c r="S34" s="347"/>
      <c r="T34" s="188">
        <f>'Project Final Cost Tracking'!C33</f>
        <v>0</v>
      </c>
      <c r="U34" s="349">
        <f t="shared" si="9"/>
        <v>832635.78021271527</v>
      </c>
      <c r="V34" s="348">
        <f t="shared" si="2"/>
        <v>2.5892286318216184</v>
      </c>
      <c r="W34" s="349">
        <f t="shared" si="10"/>
        <v>2224231.4852127153</v>
      </c>
      <c r="X34" s="350">
        <f t="shared" si="3"/>
        <v>0</v>
      </c>
      <c r="Y34" s="306">
        <f t="shared" si="11"/>
        <v>309243.49</v>
      </c>
      <c r="Z34" s="351">
        <f t="shared" si="12"/>
        <v>5.6134808482961509E-3</v>
      </c>
      <c r="AA34" s="344">
        <f t="shared" si="4"/>
        <v>12291.350774556462</v>
      </c>
      <c r="AB34" s="233">
        <f>ROUND($C34*Allocations!$B$16,2)</f>
        <v>275796.32</v>
      </c>
      <c r="AC34" s="242">
        <f>$C34*Allocations!$B$24</f>
        <v>0</v>
      </c>
      <c r="AD34" s="246">
        <f t="shared" si="5"/>
        <v>844927.13</v>
      </c>
      <c r="AE34" s="162"/>
      <c r="AF34" s="159"/>
      <c r="AG34" s="174"/>
      <c r="AH34" s="157"/>
      <c r="AI34" s="156"/>
      <c r="AJ34" s="157"/>
      <c r="AK34" s="174"/>
      <c r="AL34" s="157"/>
      <c r="AM34" s="156"/>
      <c r="AN34" s="157"/>
      <c r="AO34" s="156"/>
      <c r="AP34" s="157"/>
      <c r="AQ34" s="156"/>
      <c r="AR34" s="157"/>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12">
        <v>482932.90134003235</v>
      </c>
      <c r="G35" s="240">
        <v>97695.59</v>
      </c>
      <c r="H35" s="432">
        <v>475922.37</v>
      </c>
      <c r="I35" s="391">
        <f>$C35*Allocations!$B$16</f>
        <v>478300.98352729331</v>
      </c>
      <c r="J35" s="237">
        <f t="shared" si="6"/>
        <v>2188494.4132559421</v>
      </c>
      <c r="K35" s="165">
        <f t="shared" si="7"/>
        <v>547123.6</v>
      </c>
      <c r="L35" s="827">
        <v>-2021220.09</v>
      </c>
      <c r="M35" s="430">
        <f t="shared" si="8"/>
        <v>-1542919.1064727069</v>
      </c>
      <c r="N35" s="239">
        <f t="shared" si="0"/>
        <v>0</v>
      </c>
      <c r="O35" s="240">
        <f t="shared" si="1"/>
        <v>0</v>
      </c>
      <c r="P35" s="320"/>
      <c r="Q35" s="321"/>
      <c r="R35" s="321"/>
      <c r="S35" s="322"/>
      <c r="T35" s="331">
        <f>'Project Final Cost Tracking'!C34</f>
        <v>0</v>
      </c>
      <c r="U35" s="342">
        <f t="shared" si="9"/>
        <v>-1542919.1064727069</v>
      </c>
      <c r="V35" s="341">
        <f t="shared" si="2"/>
        <v>-2.8200558456493323</v>
      </c>
      <c r="W35" s="342">
        <f t="shared" si="10"/>
        <v>598731.55852729315</v>
      </c>
      <c r="X35" s="343">
        <f t="shared" si="3"/>
        <v>0</v>
      </c>
      <c r="Y35" s="239">
        <f t="shared" si="11"/>
        <v>475922.37</v>
      </c>
      <c r="Z35" s="255">
        <f t="shared" si="12"/>
        <v>8.6390860136480625E-3</v>
      </c>
      <c r="AA35" s="240">
        <f t="shared" si="4"/>
        <v>18916.255249635968</v>
      </c>
      <c r="AB35" s="238">
        <f>ROUND($C35*Allocations!$B$16,2)</f>
        <v>478300.98</v>
      </c>
      <c r="AC35" s="241">
        <f>$C35*Allocations!$B$24</f>
        <v>0</v>
      </c>
      <c r="AD35" s="244">
        <f t="shared" si="5"/>
        <v>-1524002.85</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12">
        <v>155436.26826330239</v>
      </c>
      <c r="G36" s="240">
        <v>31444.2</v>
      </c>
      <c r="H36" s="432">
        <v>156612.17000000001</v>
      </c>
      <c r="I36" s="391">
        <f>$C36*Allocations!$B$16</f>
        <v>160110.40568381443</v>
      </c>
      <c r="J36" s="237">
        <f t="shared" si="6"/>
        <v>693975.65428902616</v>
      </c>
      <c r="K36" s="165">
        <f t="shared" si="7"/>
        <v>173493.91</v>
      </c>
      <c r="L36" s="827">
        <v>317348.38</v>
      </c>
      <c r="M36" s="430">
        <f t="shared" si="8"/>
        <v>477458.78568381444</v>
      </c>
      <c r="N36" s="239">
        <f t="shared" si="0"/>
        <v>0</v>
      </c>
      <c r="O36" s="240">
        <f t="shared" si="1"/>
        <v>0</v>
      </c>
      <c r="P36" s="320"/>
      <c r="Q36" s="321"/>
      <c r="R36" s="321"/>
      <c r="S36" s="322"/>
      <c r="T36" s="331">
        <f>'Project Final Cost Tracking'!C35</f>
        <v>0</v>
      </c>
      <c r="U36" s="342">
        <f t="shared" si="9"/>
        <v>477458.78568381444</v>
      </c>
      <c r="V36" s="341">
        <f t="shared" si="2"/>
        <v>2.7520204350908597</v>
      </c>
      <c r="W36" s="342">
        <f t="shared" si="10"/>
        <v>1182213.5506838146</v>
      </c>
      <c r="X36" s="343">
        <f t="shared" si="3"/>
        <v>0</v>
      </c>
      <c r="Y36" s="239">
        <f t="shared" si="11"/>
        <v>156612.17000000001</v>
      </c>
      <c r="Z36" s="255">
        <f t="shared" si="12"/>
        <v>2.8428712174510162E-3</v>
      </c>
      <c r="AA36" s="240">
        <f t="shared" si="4"/>
        <v>6224.787842856349</v>
      </c>
      <c r="AB36" s="238">
        <f>ROUND($C36*Allocations!$B$16,2)</f>
        <v>160110.41</v>
      </c>
      <c r="AC36" s="241">
        <f>$C36*Allocations!$B$24</f>
        <v>0</v>
      </c>
      <c r="AD36" s="244">
        <f t="shared" si="5"/>
        <v>483683.58</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12">
        <v>752620.34068171505</v>
      </c>
      <c r="G37" s="240">
        <v>152252.39000000001</v>
      </c>
      <c r="H37" s="432">
        <v>844359.9</v>
      </c>
      <c r="I37" s="391">
        <f>$C37*Allocations!$B$16</f>
        <v>948999.87233349262</v>
      </c>
      <c r="J37" s="237">
        <f t="shared" si="6"/>
        <v>3578939.4403249249</v>
      </c>
      <c r="K37" s="165">
        <f t="shared" si="7"/>
        <v>894734.86</v>
      </c>
      <c r="L37" s="827">
        <v>1086993.8600000001</v>
      </c>
      <c r="M37" s="430">
        <f t="shared" si="8"/>
        <v>2035993.7323334927</v>
      </c>
      <c r="N37" s="239">
        <f t="shared" ref="N37:N68" si="13">AE37+AG37+AI37+AK37+AM37+AO37+AQ37+AS37+AU37+AW37+AY37+BA37+BC37</f>
        <v>169273</v>
      </c>
      <c r="O37" s="240">
        <f t="shared" ref="O37:O68" si="14">AF37+AH37+AJ37+AL37+AN37+AP37+AR37+AT37+AV37+AX37+AZ37+BB37+BC37</f>
        <v>169273</v>
      </c>
      <c r="P37" s="320"/>
      <c r="Q37" s="321"/>
      <c r="R37" s="321"/>
      <c r="S37" s="322"/>
      <c r="T37" s="331">
        <f>'Project Final Cost Tracking'!C36</f>
        <v>0</v>
      </c>
      <c r="U37" s="342">
        <f t="shared" si="9"/>
        <v>1866720.7323334927</v>
      </c>
      <c r="V37" s="341">
        <f t="shared" ref="V37:V68" si="15">$U37/$K37</f>
        <v>2.0863395579931834</v>
      </c>
      <c r="W37" s="342">
        <f t="shared" si="10"/>
        <v>5666340.2823334932</v>
      </c>
      <c r="X37" s="343">
        <f t="shared" ref="X37:X68" si="16">IF((($U37-$J37)-($Q37+$S37))&gt;0,(($U37-$J37)-($Q37+$S37)),0)</f>
        <v>0</v>
      </c>
      <c r="Y37" s="239">
        <f t="shared" si="11"/>
        <v>844359.9</v>
      </c>
      <c r="Z37" s="255">
        <f t="shared" si="12"/>
        <v>1.5327074881088858E-2</v>
      </c>
      <c r="AA37" s="240">
        <f t="shared" ref="AA37:AA68" si="17">IF($Z37&gt;0,$Z37*$X$104,0)</f>
        <v>33560.362777141789</v>
      </c>
      <c r="AB37" s="238">
        <f>ROUND($C37*Allocations!$B$16,2)</f>
        <v>948999.87</v>
      </c>
      <c r="AC37" s="241">
        <f>$C37*Allocations!$B$24</f>
        <v>0</v>
      </c>
      <c r="AD37" s="244">
        <f t="shared" ref="AD37:AD68" si="18">ROUND($L37+$AB37+$AC37+$AA37-$O37-$T37-$X37,2)</f>
        <v>1900281.09</v>
      </c>
      <c r="AE37" s="153"/>
      <c r="AF37" s="141"/>
      <c r="AG37" s="151">
        <f>Fayette!C19</f>
        <v>169273</v>
      </c>
      <c r="AH37" s="146">
        <f>Fayette!D19</f>
        <v>169273</v>
      </c>
      <c r="AI37" s="145"/>
      <c r="AJ37" s="146"/>
      <c r="AK37" s="151"/>
      <c r="AL37" s="146"/>
      <c r="AM37" s="145"/>
      <c r="AN37" s="146"/>
      <c r="AO37" s="614"/>
      <c r="AP37" s="146"/>
      <c r="AQ37" s="145"/>
      <c r="AR37" s="146"/>
      <c r="AS37" s="145"/>
      <c r="AT37" s="146"/>
      <c r="AU37" s="145"/>
      <c r="AV37" s="146"/>
      <c r="AW37" s="148"/>
      <c r="AX37" s="141"/>
      <c r="AY37" s="145"/>
      <c r="AZ37" s="146"/>
      <c r="BA37" s="149"/>
      <c r="BB37" s="150"/>
      <c r="BC37" s="179"/>
      <c r="BD37" s="176"/>
    </row>
    <row r="38" spans="1:56" s="30" customFormat="1" ht="12.75">
      <c r="A38" s="97" t="s">
        <v>35</v>
      </c>
      <c r="B38" s="47">
        <v>34</v>
      </c>
      <c r="C38" s="247">
        <v>1.180739180624105E-2</v>
      </c>
      <c r="D38" s="239">
        <v>745447.90132505703</v>
      </c>
      <c r="E38" s="240">
        <v>153656.32355931963</v>
      </c>
      <c r="F38" s="612">
        <v>686940.06031549629</v>
      </c>
      <c r="G38" s="240">
        <v>138965.51</v>
      </c>
      <c r="H38" s="432">
        <v>684242.98</v>
      </c>
      <c r="I38" s="391">
        <f>$C38*Allocations!$B$16</f>
        <v>682250.25015411759</v>
      </c>
      <c r="J38" s="237">
        <f t="shared" si="6"/>
        <v>3091503.0253539905</v>
      </c>
      <c r="K38" s="165">
        <f t="shared" si="7"/>
        <v>772875.76</v>
      </c>
      <c r="L38" s="827">
        <v>-301611.07</v>
      </c>
      <c r="M38" s="430">
        <f t="shared" si="8"/>
        <v>380639.18015411758</v>
      </c>
      <c r="N38" s="239">
        <f t="shared" si="13"/>
        <v>0</v>
      </c>
      <c r="O38" s="240">
        <f t="shared" si="14"/>
        <v>0</v>
      </c>
      <c r="P38" s="320"/>
      <c r="Q38" s="321"/>
      <c r="R38" s="321"/>
      <c r="S38" s="322"/>
      <c r="T38" s="331">
        <f>'Project Final Cost Tracking'!C37</f>
        <v>0</v>
      </c>
      <c r="U38" s="342">
        <f t="shared" si="9"/>
        <v>380639.18015411758</v>
      </c>
      <c r="V38" s="341">
        <f t="shared" si="15"/>
        <v>0.49249724192943711</v>
      </c>
      <c r="W38" s="342">
        <f t="shared" si="10"/>
        <v>3459732.5901541179</v>
      </c>
      <c r="X38" s="343">
        <f t="shared" si="16"/>
        <v>0</v>
      </c>
      <c r="Y38" s="239">
        <f t="shared" si="11"/>
        <v>684242.98</v>
      </c>
      <c r="Z38" s="255">
        <f t="shared" si="12"/>
        <v>1.2420584387438798E-2</v>
      </c>
      <c r="AA38" s="240">
        <f t="shared" si="17"/>
        <v>27196.273338552161</v>
      </c>
      <c r="AB38" s="238">
        <f>ROUND($C38*Allocations!$B$16,2)</f>
        <v>682250.25</v>
      </c>
      <c r="AC38" s="241">
        <f>$C38*Allocations!$B$24</f>
        <v>0</v>
      </c>
      <c r="AD38" s="244">
        <f t="shared" si="18"/>
        <v>407835.45</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6">
        <v>413193.68926580175</v>
      </c>
      <c r="E39" s="344">
        <v>85170.034146772508</v>
      </c>
      <c r="F39" s="610">
        <v>521147.79188612039</v>
      </c>
      <c r="G39" s="344">
        <v>105426.33</v>
      </c>
      <c r="H39" s="433">
        <v>655649.68000000005</v>
      </c>
      <c r="I39" s="392">
        <f>$C39*Allocations!$B$16</f>
        <v>509485.2727273638</v>
      </c>
      <c r="J39" s="388">
        <f t="shared" si="6"/>
        <v>2290072.7980260584</v>
      </c>
      <c r="K39" s="168">
        <f t="shared" si="7"/>
        <v>572518.19999999995</v>
      </c>
      <c r="L39" s="828">
        <v>39778.79</v>
      </c>
      <c r="M39" s="431">
        <f t="shared" si="8"/>
        <v>549264.06272736378</v>
      </c>
      <c r="N39" s="306">
        <f t="shared" si="13"/>
        <v>0</v>
      </c>
      <c r="O39" s="344">
        <f t="shared" si="14"/>
        <v>0</v>
      </c>
      <c r="P39" s="345"/>
      <c r="Q39" s="346"/>
      <c r="R39" s="346"/>
      <c r="S39" s="347"/>
      <c r="T39" s="188">
        <f>'Project Final Cost Tracking'!C38</f>
        <v>0</v>
      </c>
      <c r="U39" s="349">
        <f t="shared" si="9"/>
        <v>549264.06272736378</v>
      </c>
      <c r="V39" s="348">
        <f t="shared" si="15"/>
        <v>0.95938271085070104</v>
      </c>
      <c r="W39" s="349">
        <f t="shared" si="10"/>
        <v>3499687.6227273638</v>
      </c>
      <c r="X39" s="350">
        <f t="shared" si="16"/>
        <v>0</v>
      </c>
      <c r="Y39" s="306">
        <f t="shared" si="11"/>
        <v>655649.68000000005</v>
      </c>
      <c r="Z39" s="351">
        <f t="shared" si="12"/>
        <v>1.1901550205216932E-2</v>
      </c>
      <c r="AA39" s="344">
        <f t="shared" si="17"/>
        <v>26059.789333336324</v>
      </c>
      <c r="AB39" s="233">
        <f>ROUND($C39*Allocations!$B$16,2)</f>
        <v>509485.27</v>
      </c>
      <c r="AC39" s="242">
        <f>$C39*Allocations!$B$24</f>
        <v>0</v>
      </c>
      <c r="AD39" s="246">
        <f t="shared" si="18"/>
        <v>575323.85</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12">
        <v>473535.32409129554</v>
      </c>
      <c r="G40" s="240">
        <v>95794.5</v>
      </c>
      <c r="H40" s="432">
        <v>455694.3</v>
      </c>
      <c r="I40" s="391">
        <f>$C40*Allocations!$B$16</f>
        <v>468075.77383535192</v>
      </c>
      <c r="J40" s="237">
        <f t="shared" si="6"/>
        <v>2039439.0982330672</v>
      </c>
      <c r="K40" s="165">
        <f t="shared" si="7"/>
        <v>509859.77</v>
      </c>
      <c r="L40" s="827">
        <v>-375083.39</v>
      </c>
      <c r="M40" s="430">
        <f t="shared" si="8"/>
        <v>92992.38383535191</v>
      </c>
      <c r="N40" s="239">
        <f t="shared" si="13"/>
        <v>0</v>
      </c>
      <c r="O40" s="240">
        <f t="shared" si="14"/>
        <v>0</v>
      </c>
      <c r="P40" s="320"/>
      <c r="Q40" s="321"/>
      <c r="R40" s="321"/>
      <c r="S40" s="322"/>
      <c r="T40" s="331">
        <f>'Project Final Cost Tracking'!C39</f>
        <v>0</v>
      </c>
      <c r="U40" s="342">
        <f t="shared" si="9"/>
        <v>92992.38383535191</v>
      </c>
      <c r="V40" s="341">
        <f t="shared" si="15"/>
        <v>0.18238815711102663</v>
      </c>
      <c r="W40" s="342">
        <f t="shared" si="10"/>
        <v>2143616.7338353517</v>
      </c>
      <c r="X40" s="343">
        <f t="shared" si="16"/>
        <v>0</v>
      </c>
      <c r="Y40" s="239">
        <f t="shared" si="11"/>
        <v>455694.3</v>
      </c>
      <c r="Z40" s="255">
        <f t="shared" si="12"/>
        <v>8.2719000025763545E-3</v>
      </c>
      <c r="AA40" s="240">
        <f t="shared" si="17"/>
        <v>18112.259977618174</v>
      </c>
      <c r="AB40" s="238">
        <f>ROUND($C40*Allocations!$B$16,2)</f>
        <v>468075.77</v>
      </c>
      <c r="AC40" s="241">
        <f>$C40*Allocations!$B$24</f>
        <v>0</v>
      </c>
      <c r="AD40" s="244">
        <f t="shared" si="18"/>
        <v>111104.64</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12">
        <v>315846.11947269097</v>
      </c>
      <c r="G41" s="240">
        <v>63894.54</v>
      </c>
      <c r="H41" s="432">
        <v>413695.03</v>
      </c>
      <c r="I41" s="391">
        <f>$C41*Allocations!$B$16</f>
        <v>410277.35329607478</v>
      </c>
      <c r="J41" s="237">
        <f t="shared" si="6"/>
        <v>1574525.3333497399</v>
      </c>
      <c r="K41" s="165">
        <f t="shared" si="7"/>
        <v>393631.33</v>
      </c>
      <c r="L41" s="827">
        <v>-872875.74</v>
      </c>
      <c r="M41" s="430">
        <f t="shared" si="8"/>
        <v>-462598.38670392521</v>
      </c>
      <c r="N41" s="239">
        <f t="shared" si="13"/>
        <v>855770.56</v>
      </c>
      <c r="O41" s="240">
        <f t="shared" si="14"/>
        <v>835770.56</v>
      </c>
      <c r="P41" s="320"/>
      <c r="Q41" s="321"/>
      <c r="R41" s="321"/>
      <c r="S41" s="322"/>
      <c r="T41" s="331">
        <f>'Project Final Cost Tracking'!C40</f>
        <v>0</v>
      </c>
      <c r="U41" s="342">
        <f t="shared" si="9"/>
        <v>-1298368.9467039253</v>
      </c>
      <c r="V41" s="341">
        <f t="shared" si="15"/>
        <v>-3.2984390411808056</v>
      </c>
      <c r="W41" s="342">
        <f t="shared" si="10"/>
        <v>563258.68829607498</v>
      </c>
      <c r="X41" s="343">
        <f t="shared" si="16"/>
        <v>0</v>
      </c>
      <c r="Y41" s="239">
        <f t="shared" si="11"/>
        <v>413695.03</v>
      </c>
      <c r="Z41" s="255">
        <f t="shared" si="12"/>
        <v>7.5095166205125345E-3</v>
      </c>
      <c r="AA41" s="240">
        <f t="shared" si="17"/>
        <v>16442.935395085147</v>
      </c>
      <c r="AB41" s="238">
        <f>ROUND($C41*Allocations!$B$16,2)</f>
        <v>410277.35</v>
      </c>
      <c r="AC41" s="241">
        <f>$C41*Allocations!$B$24</f>
        <v>0</v>
      </c>
      <c r="AD41" s="244">
        <f t="shared" si="18"/>
        <v>-1281926.01</v>
      </c>
      <c r="AE41" s="153"/>
      <c r="AF41" s="141"/>
      <c r="AG41" s="151"/>
      <c r="AH41" s="146"/>
      <c r="AI41" s="145"/>
      <c r="AJ41" s="146"/>
      <c r="AK41" s="151"/>
      <c r="AL41" s="146"/>
      <c r="AM41" s="145">
        <f>Greene!C6</f>
        <v>855770.56</v>
      </c>
      <c r="AN41" s="146">
        <f>Greene!D6</f>
        <v>835770.56</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12">
        <v>668886.48985580844</v>
      </c>
      <c r="G42" s="240">
        <v>135313.32999999999</v>
      </c>
      <c r="H42" s="432">
        <v>819578.34</v>
      </c>
      <c r="I42" s="391">
        <f>$C42*Allocations!$B$16</f>
        <v>798075.94720124849</v>
      </c>
      <c r="J42" s="237">
        <f t="shared" si="6"/>
        <v>3232571.5392799005</v>
      </c>
      <c r="K42" s="165">
        <f t="shared" si="7"/>
        <v>808142.88</v>
      </c>
      <c r="L42" s="827">
        <v>1436107.98</v>
      </c>
      <c r="M42" s="430">
        <f t="shared" si="8"/>
        <v>2234183.9272012487</v>
      </c>
      <c r="N42" s="239">
        <f t="shared" si="13"/>
        <v>0</v>
      </c>
      <c r="O42" s="240">
        <f t="shared" si="14"/>
        <v>0</v>
      </c>
      <c r="P42" s="320"/>
      <c r="Q42" s="321"/>
      <c r="R42" s="321"/>
      <c r="S42" s="322"/>
      <c r="T42" s="331">
        <f>'Project Final Cost Tracking'!C41</f>
        <v>0</v>
      </c>
      <c r="U42" s="342">
        <f t="shared" si="9"/>
        <v>2234183.9272012487</v>
      </c>
      <c r="V42" s="341">
        <f t="shared" si="15"/>
        <v>2.7645902506760298</v>
      </c>
      <c r="W42" s="342">
        <f t="shared" si="10"/>
        <v>5922286.457201248</v>
      </c>
      <c r="X42" s="343">
        <f t="shared" si="16"/>
        <v>0</v>
      </c>
      <c r="Y42" s="239">
        <f t="shared" si="11"/>
        <v>819578.34</v>
      </c>
      <c r="Z42" s="255">
        <f t="shared" si="12"/>
        <v>1.4877232549886018E-2</v>
      </c>
      <c r="AA42" s="240">
        <f t="shared" si="17"/>
        <v>32575.382150061429</v>
      </c>
      <c r="AB42" s="238">
        <f>ROUND($C42*Allocations!$B$16,2)</f>
        <v>798075.95</v>
      </c>
      <c r="AC42" s="241">
        <f>$C42*Allocations!$B$24</f>
        <v>0</v>
      </c>
      <c r="AD42" s="244">
        <f t="shared" si="18"/>
        <v>2266759.31</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12">
        <v>899904.06390541245</v>
      </c>
      <c r="G43" s="240">
        <v>182047.35999999999</v>
      </c>
      <c r="H43" s="432">
        <v>917426.95</v>
      </c>
      <c r="I43" s="391">
        <f>$C43*Allocations!$B$16</f>
        <v>907980.51725821604</v>
      </c>
      <c r="J43" s="237">
        <f t="shared" si="6"/>
        <v>3896381.7080970393</v>
      </c>
      <c r="K43" s="165">
        <f t="shared" si="7"/>
        <v>974095.43</v>
      </c>
      <c r="L43" s="827">
        <v>2311585.27</v>
      </c>
      <c r="M43" s="430">
        <f t="shared" si="8"/>
        <v>3219565.7872582162</v>
      </c>
      <c r="N43" s="239">
        <f t="shared" si="13"/>
        <v>0</v>
      </c>
      <c r="O43" s="240">
        <f t="shared" si="14"/>
        <v>0</v>
      </c>
      <c r="P43" s="320"/>
      <c r="Q43" s="321"/>
      <c r="R43" s="321"/>
      <c r="S43" s="322"/>
      <c r="T43" s="331">
        <f>'Project Final Cost Tracking'!C42</f>
        <v>0</v>
      </c>
      <c r="U43" s="342">
        <f t="shared" si="9"/>
        <v>3219565.7872582162</v>
      </c>
      <c r="V43" s="341">
        <f t="shared" si="15"/>
        <v>3.305185188332334</v>
      </c>
      <c r="W43" s="342">
        <f t="shared" si="10"/>
        <v>7347987.0622582156</v>
      </c>
      <c r="X43" s="343">
        <f t="shared" si="16"/>
        <v>0</v>
      </c>
      <c r="Y43" s="239">
        <f t="shared" si="11"/>
        <v>917426.95</v>
      </c>
      <c r="Z43" s="255">
        <f t="shared" si="12"/>
        <v>1.6653409950637119E-2</v>
      </c>
      <c r="AA43" s="240">
        <f t="shared" si="17"/>
        <v>36464.523319412394</v>
      </c>
      <c r="AB43" s="238">
        <f>ROUND($C43*Allocations!$B$16,2)</f>
        <v>907980.52</v>
      </c>
      <c r="AC43" s="241">
        <f>$C43*Allocations!$B$24</f>
        <v>0</v>
      </c>
      <c r="AD43" s="244">
        <f t="shared" si="18"/>
        <v>3256030.31</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6">
        <v>447358.72974327684</v>
      </c>
      <c r="E44" s="344">
        <v>92212.343213164277</v>
      </c>
      <c r="F44" s="610">
        <v>530767.58014972706</v>
      </c>
      <c r="G44" s="344">
        <v>107372.37</v>
      </c>
      <c r="H44" s="433">
        <v>549835.93000000005</v>
      </c>
      <c r="I44" s="392">
        <f>$C44*Allocations!$B$16</f>
        <v>565222.83775990352</v>
      </c>
      <c r="J44" s="388">
        <f t="shared" si="6"/>
        <v>2292769.7908660718</v>
      </c>
      <c r="K44" s="168">
        <f t="shared" si="7"/>
        <v>573192.44999999995</v>
      </c>
      <c r="L44" s="828">
        <v>865944.16</v>
      </c>
      <c r="M44" s="431">
        <f t="shared" si="8"/>
        <v>1431166.9977599035</v>
      </c>
      <c r="N44" s="306">
        <f t="shared" si="13"/>
        <v>0</v>
      </c>
      <c r="O44" s="344">
        <f t="shared" si="14"/>
        <v>0</v>
      </c>
      <c r="P44" s="345"/>
      <c r="Q44" s="346"/>
      <c r="R44" s="346"/>
      <c r="S44" s="347"/>
      <c r="T44" s="188">
        <f>'Project Final Cost Tracking'!C43</f>
        <v>0</v>
      </c>
      <c r="U44" s="349">
        <f t="shared" si="9"/>
        <v>1431166.9977599035</v>
      </c>
      <c r="V44" s="348">
        <f t="shared" si="15"/>
        <v>2.4968350468675986</v>
      </c>
      <c r="W44" s="349">
        <f t="shared" si="10"/>
        <v>3905428.6827599034</v>
      </c>
      <c r="X44" s="350">
        <f t="shared" si="16"/>
        <v>0</v>
      </c>
      <c r="Y44" s="306">
        <f t="shared" si="11"/>
        <v>549835.93000000005</v>
      </c>
      <c r="Z44" s="351">
        <f t="shared" si="12"/>
        <v>9.9807871873393468E-3</v>
      </c>
      <c r="AA44" s="344">
        <f t="shared" si="17"/>
        <v>21854.061613663958</v>
      </c>
      <c r="AB44" s="233">
        <f>ROUND($C44*Allocations!$B$16,2)</f>
        <v>565222.84</v>
      </c>
      <c r="AC44" s="242">
        <f>$C44*Allocations!$B$24</f>
        <v>0</v>
      </c>
      <c r="AD44" s="246">
        <f t="shared" si="18"/>
        <v>1453021.06</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12">
        <v>402833.52235666051</v>
      </c>
      <c r="G45" s="240">
        <v>81491.77</v>
      </c>
      <c r="H45" s="432">
        <v>390522.29</v>
      </c>
      <c r="I45" s="391">
        <f>$C45*Allocations!$B$16</f>
        <v>372490.697143358</v>
      </c>
      <c r="J45" s="237">
        <f t="shared" si="6"/>
        <v>1753622.5483855824</v>
      </c>
      <c r="K45" s="165">
        <f t="shared" si="7"/>
        <v>438405.64</v>
      </c>
      <c r="L45" s="827">
        <v>-747844.09</v>
      </c>
      <c r="M45" s="430">
        <f t="shared" si="8"/>
        <v>-375353.39285664196</v>
      </c>
      <c r="N45" s="239">
        <f t="shared" si="13"/>
        <v>1327525.68</v>
      </c>
      <c r="O45" s="240">
        <f t="shared" si="14"/>
        <v>1327525.68</v>
      </c>
      <c r="P45" s="320"/>
      <c r="Q45" s="321"/>
      <c r="R45" s="321"/>
      <c r="S45" s="322"/>
      <c r="T45" s="331">
        <f>'Project Final Cost Tracking'!C44</f>
        <v>0</v>
      </c>
      <c r="U45" s="342">
        <f t="shared" si="9"/>
        <v>-1702879.0728566418</v>
      </c>
      <c r="V45" s="341">
        <f t="shared" si="15"/>
        <v>-3.8842544837165911</v>
      </c>
      <c r="W45" s="342">
        <f t="shared" si="10"/>
        <v>54471.232143358095</v>
      </c>
      <c r="X45" s="343">
        <f t="shared" si="16"/>
        <v>0</v>
      </c>
      <c r="Y45" s="239">
        <f t="shared" si="11"/>
        <v>390522.29</v>
      </c>
      <c r="Z45" s="255">
        <f t="shared" si="12"/>
        <v>7.0888780738690904E-3</v>
      </c>
      <c r="AA45" s="240">
        <f t="shared" si="17"/>
        <v>15521.899755021725</v>
      </c>
      <c r="AB45" s="238">
        <f>ROUND($C45*Allocations!$B$16,2)</f>
        <v>372490.7</v>
      </c>
      <c r="AC45" s="241">
        <f>$C45*Allocations!$B$24</f>
        <v>0</v>
      </c>
      <c r="AD45" s="244">
        <f t="shared" si="18"/>
        <v>-1687357.17</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12">
        <v>618911.89295479434</v>
      </c>
      <c r="G46" s="240">
        <v>125203.65</v>
      </c>
      <c r="H46" s="432">
        <v>626128.30000000005</v>
      </c>
      <c r="I46" s="391">
        <f>$C46*Allocations!$B$16</f>
        <v>774708.57384345913</v>
      </c>
      <c r="J46" s="237">
        <f t="shared" si="6"/>
        <v>2912856.9567139833</v>
      </c>
      <c r="K46" s="165">
        <f t="shared" si="7"/>
        <v>728214.24</v>
      </c>
      <c r="L46" s="827">
        <v>709626.46</v>
      </c>
      <c r="M46" s="430">
        <f t="shared" si="8"/>
        <v>1484335.0338434591</v>
      </c>
      <c r="N46" s="239">
        <f t="shared" si="13"/>
        <v>0</v>
      </c>
      <c r="O46" s="240">
        <f t="shared" si="14"/>
        <v>0</v>
      </c>
      <c r="P46" s="320"/>
      <c r="Q46" s="321"/>
      <c r="R46" s="321"/>
      <c r="S46" s="322"/>
      <c r="T46" s="331">
        <f>'Project Final Cost Tracking'!C45</f>
        <v>0</v>
      </c>
      <c r="U46" s="342">
        <f t="shared" si="9"/>
        <v>1484335.0338434591</v>
      </c>
      <c r="V46" s="341">
        <f t="shared" si="15"/>
        <v>2.0383219007684596</v>
      </c>
      <c r="W46" s="342">
        <f t="shared" si="10"/>
        <v>4301912.3838434592</v>
      </c>
      <c r="X46" s="343">
        <f t="shared" si="16"/>
        <v>0</v>
      </c>
      <c r="Y46" s="239">
        <f t="shared" si="11"/>
        <v>626128.30000000005</v>
      </c>
      <c r="Z46" s="255">
        <f t="shared" si="12"/>
        <v>1.136566923567648E-2</v>
      </c>
      <c r="AA46" s="240">
        <f t="shared" si="17"/>
        <v>24886.417383197695</v>
      </c>
      <c r="AB46" s="238">
        <f>ROUND($C46*Allocations!$B$16,2)</f>
        <v>774708.57</v>
      </c>
      <c r="AC46" s="241">
        <f>$C46*Allocations!$B$24</f>
        <v>0</v>
      </c>
      <c r="AD46" s="244">
        <f t="shared" si="18"/>
        <v>1509221.45</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12">
        <v>559830.59936518501</v>
      </c>
      <c r="G47" s="240">
        <v>113251.72</v>
      </c>
      <c r="H47" s="432">
        <v>493093.74</v>
      </c>
      <c r="I47" s="391">
        <f>$C47*Allocations!$B$16</f>
        <v>469466.37358304422</v>
      </c>
      <c r="J47" s="237">
        <f t="shared" si="6"/>
        <v>2352115.7756659659</v>
      </c>
      <c r="K47" s="165">
        <f t="shared" si="7"/>
        <v>588028.93999999994</v>
      </c>
      <c r="L47" s="827">
        <v>798790.46</v>
      </c>
      <c r="M47" s="430">
        <f t="shared" si="8"/>
        <v>1268256.8335830441</v>
      </c>
      <c r="N47" s="239">
        <f t="shared" si="13"/>
        <v>0</v>
      </c>
      <c r="O47" s="240">
        <f t="shared" si="14"/>
        <v>0</v>
      </c>
      <c r="P47" s="320"/>
      <c r="Q47" s="321"/>
      <c r="R47" s="321"/>
      <c r="S47" s="322"/>
      <c r="T47" s="331">
        <f>'Project Final Cost Tracking'!C46</f>
        <v>0</v>
      </c>
      <c r="U47" s="342">
        <f t="shared" si="9"/>
        <v>1268256.8335830441</v>
      </c>
      <c r="V47" s="341">
        <f t="shared" si="15"/>
        <v>2.1567932244679051</v>
      </c>
      <c r="W47" s="342">
        <f t="shared" si="10"/>
        <v>3487178.663583044</v>
      </c>
      <c r="X47" s="343">
        <f t="shared" si="16"/>
        <v>0</v>
      </c>
      <c r="Y47" s="239">
        <f t="shared" si="11"/>
        <v>493093.74</v>
      </c>
      <c r="Z47" s="255">
        <f t="shared" si="12"/>
        <v>8.9507858868903643E-3</v>
      </c>
      <c r="AA47" s="240">
        <f t="shared" si="17"/>
        <v>19598.757351619406</v>
      </c>
      <c r="AB47" s="238">
        <f>ROUND($C47*Allocations!$B$16,2)</f>
        <v>469466.37</v>
      </c>
      <c r="AC47" s="241">
        <f>$C47*Allocations!$B$24</f>
        <v>0</v>
      </c>
      <c r="AD47" s="244">
        <f t="shared" si="18"/>
        <v>1287855.5900000001</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12">
        <v>593682.78873142437</v>
      </c>
      <c r="G48" s="240">
        <v>120099.9</v>
      </c>
      <c r="H48" s="432">
        <v>610252.97</v>
      </c>
      <c r="I48" s="391">
        <f>$C48*Allocations!$B$16</f>
        <v>720488.99916027288</v>
      </c>
      <c r="J48" s="237">
        <f t="shared" si="6"/>
        <v>2630434.3392638317</v>
      </c>
      <c r="K48" s="165">
        <f t="shared" si="7"/>
        <v>657608.57999999996</v>
      </c>
      <c r="L48" s="827">
        <v>39798.53</v>
      </c>
      <c r="M48" s="430">
        <f t="shared" si="8"/>
        <v>760287.52916027291</v>
      </c>
      <c r="N48" s="239">
        <f t="shared" si="13"/>
        <v>0</v>
      </c>
      <c r="O48" s="240">
        <f t="shared" si="14"/>
        <v>0</v>
      </c>
      <c r="P48" s="320"/>
      <c r="Q48" s="321"/>
      <c r="R48" s="321"/>
      <c r="S48" s="322"/>
      <c r="T48" s="331">
        <f>'Project Final Cost Tracking'!C47</f>
        <v>0</v>
      </c>
      <c r="U48" s="342">
        <f t="shared" si="9"/>
        <v>760287.52916027291</v>
      </c>
      <c r="V48" s="341">
        <f t="shared" si="15"/>
        <v>1.1561399170921294</v>
      </c>
      <c r="W48" s="342">
        <f t="shared" si="10"/>
        <v>3506425.8941602726</v>
      </c>
      <c r="X48" s="343">
        <f t="shared" si="16"/>
        <v>0</v>
      </c>
      <c r="Y48" s="239">
        <f t="shared" si="11"/>
        <v>610252.97</v>
      </c>
      <c r="Z48" s="255">
        <f t="shared" si="12"/>
        <v>1.1077495470352005E-2</v>
      </c>
      <c r="AA48" s="240">
        <f t="shared" si="17"/>
        <v>24255.428353511605</v>
      </c>
      <c r="AB48" s="238">
        <f>ROUND($C48*Allocations!$B$16,2)</f>
        <v>720489</v>
      </c>
      <c r="AC48" s="241">
        <f>$C48*Allocations!$B$24</f>
        <v>0</v>
      </c>
      <c r="AD48" s="244">
        <f t="shared" si="18"/>
        <v>784542.96</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6">
        <v>528537.48917729117</v>
      </c>
      <c r="E49" s="344">
        <v>108945.41027736127</v>
      </c>
      <c r="F49" s="610">
        <v>526696.50766063551</v>
      </c>
      <c r="G49" s="344">
        <v>106548.81</v>
      </c>
      <c r="H49" s="433">
        <v>520827.82</v>
      </c>
      <c r="I49" s="392">
        <f>$C49*Allocations!$B$16</f>
        <v>519682.26173094782</v>
      </c>
      <c r="J49" s="388">
        <f t="shared" si="6"/>
        <v>2311238.298846236</v>
      </c>
      <c r="K49" s="168">
        <f t="shared" si="7"/>
        <v>577809.56999999995</v>
      </c>
      <c r="L49" s="828">
        <v>1230206.1499999999</v>
      </c>
      <c r="M49" s="431">
        <f t="shared" si="8"/>
        <v>1749888.4117309477</v>
      </c>
      <c r="N49" s="306">
        <f t="shared" si="13"/>
        <v>539845.64</v>
      </c>
      <c r="O49" s="344">
        <f t="shared" si="14"/>
        <v>539845.64</v>
      </c>
      <c r="P49" s="345"/>
      <c r="Q49" s="346"/>
      <c r="R49" s="346"/>
      <c r="S49" s="347"/>
      <c r="T49" s="188">
        <f>'Project Final Cost Tracking'!C48</f>
        <v>0</v>
      </c>
      <c r="U49" s="349">
        <f t="shared" si="9"/>
        <v>1210042.7717309478</v>
      </c>
      <c r="V49" s="348">
        <f t="shared" si="15"/>
        <v>2.0941895644458568</v>
      </c>
      <c r="W49" s="349">
        <f t="shared" si="10"/>
        <v>3553767.9617309477</v>
      </c>
      <c r="X49" s="350">
        <f t="shared" si="16"/>
        <v>0</v>
      </c>
      <c r="Y49" s="306">
        <f t="shared" si="11"/>
        <v>520827.82</v>
      </c>
      <c r="Z49" s="351">
        <f t="shared" si="12"/>
        <v>9.4542232492261531E-3</v>
      </c>
      <c r="AA49" s="344">
        <f t="shared" si="17"/>
        <v>20701.090356882065</v>
      </c>
      <c r="AB49" s="233">
        <f>ROUND($C49*Allocations!$B$16,2)</f>
        <v>519682.26</v>
      </c>
      <c r="AC49" s="242">
        <f>$C49*Allocations!$B$24</f>
        <v>0</v>
      </c>
      <c r="AD49" s="246">
        <f t="shared" si="18"/>
        <v>1230743.8600000001</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12">
        <v>198933.14248895834</v>
      </c>
      <c r="G50" s="240">
        <v>40243.46</v>
      </c>
      <c r="H50" s="432">
        <v>194875.17</v>
      </c>
      <c r="I50" s="391">
        <f>$C50*Allocations!$B$16</f>
        <v>192840.96175487016</v>
      </c>
      <c r="J50" s="237">
        <f t="shared" si="6"/>
        <v>870920.3284351849</v>
      </c>
      <c r="K50" s="165">
        <f t="shared" si="7"/>
        <v>217730.08</v>
      </c>
      <c r="L50" s="827">
        <v>-5546.98</v>
      </c>
      <c r="M50" s="430">
        <f t="shared" si="8"/>
        <v>187293.98175487015</v>
      </c>
      <c r="N50" s="239">
        <f t="shared" si="13"/>
        <v>342738.75</v>
      </c>
      <c r="O50" s="240">
        <f t="shared" si="14"/>
        <v>342738.75</v>
      </c>
      <c r="P50" s="320"/>
      <c r="Q50" s="321"/>
      <c r="R50" s="321"/>
      <c r="S50" s="322"/>
      <c r="T50" s="331">
        <f>'Project Final Cost Tracking'!C49</f>
        <v>0</v>
      </c>
      <c r="U50" s="342">
        <f t="shared" si="9"/>
        <v>-155444.76824512985</v>
      </c>
      <c r="V50" s="341">
        <f t="shared" si="15"/>
        <v>-0.71393336302053378</v>
      </c>
      <c r="W50" s="342">
        <f t="shared" si="10"/>
        <v>721493.49675487017</v>
      </c>
      <c r="X50" s="343">
        <f t="shared" si="16"/>
        <v>0</v>
      </c>
      <c r="Y50" s="239">
        <f t="shared" si="11"/>
        <v>194875.17</v>
      </c>
      <c r="Z50" s="255">
        <f t="shared" si="12"/>
        <v>3.5374327026365428E-3</v>
      </c>
      <c r="AA50" s="240">
        <f t="shared" si="17"/>
        <v>7745.6087166825164</v>
      </c>
      <c r="AB50" s="238">
        <f>ROUND($C50*Allocations!$B$16,2)</f>
        <v>192840.95999999999</v>
      </c>
      <c r="AC50" s="241">
        <f>$C50*Allocations!$B$24</f>
        <v>0</v>
      </c>
      <c r="AD50" s="244">
        <f t="shared" si="18"/>
        <v>-147699.16</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12">
        <v>371360.32929845841</v>
      </c>
      <c r="G51" s="240">
        <v>75124.86</v>
      </c>
      <c r="H51" s="432">
        <v>396614.04</v>
      </c>
      <c r="I51" s="391">
        <f>$C51*Allocations!$B$16</f>
        <v>392796.60820375197</v>
      </c>
      <c r="J51" s="237">
        <f t="shared" si="6"/>
        <v>1696363.5593405315</v>
      </c>
      <c r="K51" s="165">
        <f t="shared" si="7"/>
        <v>424090.89</v>
      </c>
      <c r="L51" s="827">
        <v>775147.49</v>
      </c>
      <c r="M51" s="430">
        <f t="shared" si="8"/>
        <v>1167944.098203752</v>
      </c>
      <c r="N51" s="239">
        <f t="shared" si="13"/>
        <v>0</v>
      </c>
      <c r="O51" s="240">
        <f t="shared" si="14"/>
        <v>0</v>
      </c>
      <c r="P51" s="320"/>
      <c r="Q51" s="321"/>
      <c r="R51" s="321"/>
      <c r="S51" s="322"/>
      <c r="T51" s="331">
        <f>'Project Final Cost Tracking'!C50</f>
        <v>0</v>
      </c>
      <c r="U51" s="342">
        <f t="shared" si="9"/>
        <v>1167944.098203752</v>
      </c>
      <c r="V51" s="341">
        <f t="shared" si="15"/>
        <v>2.7539947821179367</v>
      </c>
      <c r="W51" s="342">
        <f t="shared" si="10"/>
        <v>2952707.2782037519</v>
      </c>
      <c r="X51" s="343">
        <f t="shared" si="16"/>
        <v>0</v>
      </c>
      <c r="Y51" s="239">
        <f t="shared" si="11"/>
        <v>396614.04</v>
      </c>
      <c r="Z51" s="255">
        <f t="shared" si="12"/>
        <v>7.199457352215769E-3</v>
      </c>
      <c r="AA51" s="240">
        <f t="shared" si="17"/>
        <v>15764.025583057442</v>
      </c>
      <c r="AB51" s="238">
        <f>ROUND($C51*Allocations!$B$16,2)</f>
        <v>392796.61</v>
      </c>
      <c r="AC51" s="241">
        <f>$C51*Allocations!$B$24</f>
        <v>0</v>
      </c>
      <c r="AD51" s="244">
        <f t="shared" si="18"/>
        <v>1183708.1299999999</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12">
        <v>849120.95634560788</v>
      </c>
      <c r="G52" s="240">
        <v>171774.12</v>
      </c>
      <c r="H52" s="432">
        <v>850718.19</v>
      </c>
      <c r="I52" s="391">
        <f>$C52*Allocations!$B$16</f>
        <v>830347.91286649345</v>
      </c>
      <c r="J52" s="237">
        <f t="shared" si="6"/>
        <v>3747749.0402460694</v>
      </c>
      <c r="K52" s="165">
        <f t="shared" si="7"/>
        <v>936937.26</v>
      </c>
      <c r="L52" s="827">
        <v>1218126.27</v>
      </c>
      <c r="M52" s="430">
        <f t="shared" si="8"/>
        <v>2048474.1828664935</v>
      </c>
      <c r="N52" s="239">
        <f t="shared" si="13"/>
        <v>0</v>
      </c>
      <c r="O52" s="240">
        <f t="shared" si="14"/>
        <v>0</v>
      </c>
      <c r="P52" s="320"/>
      <c r="Q52" s="321"/>
      <c r="R52" s="321"/>
      <c r="S52" s="322"/>
      <c r="T52" s="331">
        <f>'Project Final Cost Tracking'!C51</f>
        <v>0</v>
      </c>
      <c r="U52" s="342">
        <f t="shared" si="9"/>
        <v>2048474.1828664935</v>
      </c>
      <c r="V52" s="341">
        <f t="shared" si="15"/>
        <v>2.186351498996308</v>
      </c>
      <c r="W52" s="342">
        <f t="shared" si="10"/>
        <v>5876706.0378664928</v>
      </c>
      <c r="X52" s="343">
        <f t="shared" si="16"/>
        <v>0</v>
      </c>
      <c r="Y52" s="239">
        <f t="shared" si="11"/>
        <v>850718.19</v>
      </c>
      <c r="Z52" s="255">
        <f t="shared" si="12"/>
        <v>1.5442492473688504E-2</v>
      </c>
      <c r="AA52" s="240">
        <f t="shared" si="17"/>
        <v>33813.082641079272</v>
      </c>
      <c r="AB52" s="238">
        <f>ROUND($C52*Allocations!$B$16,2)</f>
        <v>830347.91</v>
      </c>
      <c r="AC52" s="241">
        <f>$C52*Allocations!$B$24</f>
        <v>0</v>
      </c>
      <c r="AD52" s="244">
        <f t="shared" si="18"/>
        <v>2082287.26</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12">
        <v>658595.92028270895</v>
      </c>
      <c r="G53" s="240">
        <v>133231.59</v>
      </c>
      <c r="H53" s="432">
        <v>578495.67000000004</v>
      </c>
      <c r="I53" s="391">
        <f>$C53*Allocations!$B$16</f>
        <v>572900.81749250123</v>
      </c>
      <c r="J53" s="237">
        <f t="shared" si="6"/>
        <v>2741010.0800470901</v>
      </c>
      <c r="K53" s="165">
        <f t="shared" si="7"/>
        <v>685252.52</v>
      </c>
      <c r="L53" s="827">
        <v>-530935.56000000006</v>
      </c>
      <c r="M53" s="430">
        <f t="shared" si="8"/>
        <v>41965.257492501172</v>
      </c>
      <c r="N53" s="239">
        <f t="shared" si="13"/>
        <v>0</v>
      </c>
      <c r="O53" s="240">
        <f t="shared" si="14"/>
        <v>0</v>
      </c>
      <c r="P53" s="320"/>
      <c r="Q53" s="321"/>
      <c r="R53" s="321"/>
      <c r="S53" s="322"/>
      <c r="T53" s="331">
        <f>'Project Final Cost Tracking'!C52</f>
        <v>0</v>
      </c>
      <c r="U53" s="342">
        <f t="shared" si="9"/>
        <v>41965.257492501172</v>
      </c>
      <c r="V53" s="341">
        <f t="shared" si="15"/>
        <v>6.1240573755936237E-2</v>
      </c>
      <c r="W53" s="342">
        <f t="shared" si="10"/>
        <v>2645195.7724925014</v>
      </c>
      <c r="X53" s="343">
        <f t="shared" si="16"/>
        <v>0</v>
      </c>
      <c r="Y53" s="239">
        <f t="shared" si="11"/>
        <v>578495.67000000004</v>
      </c>
      <c r="Z53" s="255">
        <f t="shared" si="12"/>
        <v>1.0501027408425803E-2</v>
      </c>
      <c r="AA53" s="240">
        <f t="shared" si="17"/>
        <v>22993.186377284972</v>
      </c>
      <c r="AB53" s="238">
        <f>ROUND($C53*Allocations!$B$16,2)</f>
        <v>572900.81999999995</v>
      </c>
      <c r="AC53" s="241">
        <f>$C53*Allocations!$B$24</f>
        <v>0</v>
      </c>
      <c r="AD53" s="244">
        <f t="shared" si="18"/>
        <v>64958.45</v>
      </c>
      <c r="AE53" s="153"/>
      <c r="AF53" s="141"/>
      <c r="AG53" s="151"/>
      <c r="AH53" s="146"/>
      <c r="AI53" s="145"/>
      <c r="AJ53" s="146"/>
      <c r="AK53" s="151"/>
      <c r="AL53" s="146"/>
      <c r="AM53" s="145"/>
      <c r="AN53" s="146"/>
      <c r="AO53" s="145"/>
      <c r="AP53" s="146"/>
      <c r="AQ53" s="145"/>
      <c r="AR53" s="146"/>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6">
        <v>1098606.3120888718</v>
      </c>
      <c r="E54" s="344">
        <v>226451.51546416242</v>
      </c>
      <c r="F54" s="610">
        <v>1089417.3969308091</v>
      </c>
      <c r="G54" s="344">
        <v>220385.23</v>
      </c>
      <c r="H54" s="433">
        <v>1067486.58</v>
      </c>
      <c r="I54" s="392">
        <f>$C54*Allocations!$B$16</f>
        <v>1084869.3687397996</v>
      </c>
      <c r="J54" s="388">
        <f t="shared" si="6"/>
        <v>4787216.4032236431</v>
      </c>
      <c r="K54" s="168">
        <f t="shared" si="7"/>
        <v>1196804.1000000001</v>
      </c>
      <c r="L54" s="828">
        <v>334068.14</v>
      </c>
      <c r="M54" s="431">
        <f t="shared" si="8"/>
        <v>1418937.5087397997</v>
      </c>
      <c r="N54" s="306">
        <f t="shared" si="13"/>
        <v>4763848.0600000005</v>
      </c>
      <c r="O54" s="344">
        <f t="shared" si="14"/>
        <v>4763848.0600000005</v>
      </c>
      <c r="P54" s="345"/>
      <c r="Q54" s="346"/>
      <c r="R54" s="346"/>
      <c r="S54" s="347"/>
      <c r="T54" s="188">
        <f>'Project Final Cost Tracking'!C53</f>
        <v>164218.33000000007</v>
      </c>
      <c r="U54" s="349">
        <f t="shared" si="9"/>
        <v>-3509128.8812602009</v>
      </c>
      <c r="V54" s="348">
        <f t="shared" si="15"/>
        <v>-2.9320829376003981</v>
      </c>
      <c r="W54" s="349">
        <f t="shared" si="10"/>
        <v>1294560.7287397995</v>
      </c>
      <c r="X54" s="350">
        <f t="shared" si="16"/>
        <v>0</v>
      </c>
      <c r="Y54" s="306">
        <f t="shared" si="11"/>
        <v>1067486.58</v>
      </c>
      <c r="Z54" s="351">
        <f t="shared" si="12"/>
        <v>1.9377337491059739E-2</v>
      </c>
      <c r="AA54" s="344">
        <f t="shared" si="17"/>
        <v>42428.870537942872</v>
      </c>
      <c r="AB54" s="233">
        <f>ROUND($C54*Allocations!$B$16,2)</f>
        <v>1084869.3700000001</v>
      </c>
      <c r="AC54" s="242">
        <f>$C54*Allocations!$B$24</f>
        <v>0</v>
      </c>
      <c r="AD54" s="246">
        <f t="shared" si="18"/>
        <v>-3466700.01</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12">
        <v>488258.70163926732</v>
      </c>
      <c r="G55" s="240">
        <v>98772.98</v>
      </c>
      <c r="H55" s="432">
        <v>453614.05</v>
      </c>
      <c r="I55" s="391">
        <f>$C55*Allocations!$B$16</f>
        <v>470215.85850483435</v>
      </c>
      <c r="J55" s="237">
        <f t="shared" si="6"/>
        <v>2140891.8729207045</v>
      </c>
      <c r="K55" s="165">
        <f t="shared" si="7"/>
        <v>535222.97</v>
      </c>
      <c r="L55" s="827">
        <v>1519874.36</v>
      </c>
      <c r="M55" s="430">
        <f t="shared" si="8"/>
        <v>1990090.2185048345</v>
      </c>
      <c r="N55" s="239">
        <f t="shared" si="13"/>
        <v>0</v>
      </c>
      <c r="O55" s="240">
        <f t="shared" si="14"/>
        <v>0</v>
      </c>
      <c r="P55" s="320"/>
      <c r="Q55" s="321"/>
      <c r="R55" s="321"/>
      <c r="S55" s="322"/>
      <c r="T55" s="331">
        <f>'Project Final Cost Tracking'!C54</f>
        <v>0</v>
      </c>
      <c r="U55" s="342">
        <f t="shared" si="9"/>
        <v>1990090.2185048345</v>
      </c>
      <c r="V55" s="341">
        <f t="shared" si="15"/>
        <v>3.7182451614601568</v>
      </c>
      <c r="W55" s="342">
        <f t="shared" si="10"/>
        <v>4031353.4435048345</v>
      </c>
      <c r="X55" s="343">
        <f t="shared" si="16"/>
        <v>0</v>
      </c>
      <c r="Y55" s="239">
        <f t="shared" si="11"/>
        <v>453614.05</v>
      </c>
      <c r="Z55" s="255">
        <f t="shared" si="12"/>
        <v>8.2341386788548163E-3</v>
      </c>
      <c r="AA55" s="240">
        <f t="shared" si="17"/>
        <v>18029.577291399713</v>
      </c>
      <c r="AB55" s="238">
        <f>ROUND($C55*Allocations!$B$16,2)</f>
        <v>470215.86</v>
      </c>
      <c r="AC55" s="241">
        <f>$C55*Allocations!$B$24</f>
        <v>0</v>
      </c>
      <c r="AD55" s="244">
        <f t="shared" si="18"/>
        <v>2008119.8</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12">
        <v>561376.07937506167</v>
      </c>
      <c r="G56" s="240">
        <v>113564.36</v>
      </c>
      <c r="H56" s="432">
        <v>534126.61</v>
      </c>
      <c r="I56" s="391">
        <f>$C56*Allocations!$B$16</f>
        <v>492793.49790772627</v>
      </c>
      <c r="J56" s="237">
        <f t="shared" si="6"/>
        <v>2237481.9830788849</v>
      </c>
      <c r="K56" s="165">
        <f t="shared" si="7"/>
        <v>559370.5</v>
      </c>
      <c r="L56" s="827">
        <v>1079948.28</v>
      </c>
      <c r="M56" s="430">
        <f t="shared" si="8"/>
        <v>1572741.7779077264</v>
      </c>
      <c r="N56" s="239">
        <f t="shared" si="13"/>
        <v>0</v>
      </c>
      <c r="O56" s="240">
        <f t="shared" si="14"/>
        <v>0</v>
      </c>
      <c r="P56" s="320"/>
      <c r="Q56" s="321"/>
      <c r="R56" s="321"/>
      <c r="S56" s="322"/>
      <c r="T56" s="331">
        <f>'Project Final Cost Tracking'!C55</f>
        <v>0</v>
      </c>
      <c r="U56" s="342">
        <f t="shared" si="9"/>
        <v>1572741.7779077264</v>
      </c>
      <c r="V56" s="341">
        <f t="shared" si="15"/>
        <v>2.8116280317030062</v>
      </c>
      <c r="W56" s="342">
        <f t="shared" si="10"/>
        <v>3976311.5229077265</v>
      </c>
      <c r="X56" s="343">
        <f t="shared" si="16"/>
        <v>0</v>
      </c>
      <c r="Y56" s="239">
        <f t="shared" si="11"/>
        <v>534126.61</v>
      </c>
      <c r="Z56" s="255">
        <f t="shared" si="12"/>
        <v>9.6956268854692697E-3</v>
      </c>
      <c r="AA56" s="240">
        <f t="shared" si="17"/>
        <v>21229.670902804512</v>
      </c>
      <c r="AB56" s="238">
        <f>ROUND($C56*Allocations!$B$16,2)</f>
        <v>492793.5</v>
      </c>
      <c r="AC56" s="241">
        <f>$C56*Allocations!$B$24</f>
        <v>0</v>
      </c>
      <c r="AD56" s="244">
        <f t="shared" si="18"/>
        <v>1593971.45</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12">
        <v>255028.67305509798</v>
      </c>
      <c r="G57" s="240">
        <v>51591.38</v>
      </c>
      <c r="H57" s="432">
        <v>248668.24</v>
      </c>
      <c r="I57" s="391">
        <f>$C57*Allocations!$B$16</f>
        <v>263207.65597349062</v>
      </c>
      <c r="J57" s="237">
        <f t="shared" si="6"/>
        <v>1135761.7555367693</v>
      </c>
      <c r="K57" s="165">
        <f t="shared" si="7"/>
        <v>283940.44</v>
      </c>
      <c r="L57" s="827">
        <v>1063452.58</v>
      </c>
      <c r="M57" s="430">
        <f t="shared" si="8"/>
        <v>1326660.2359734906</v>
      </c>
      <c r="N57" s="239">
        <f t="shared" si="13"/>
        <v>0</v>
      </c>
      <c r="O57" s="240">
        <f t="shared" si="14"/>
        <v>0</v>
      </c>
      <c r="P57" s="320"/>
      <c r="Q57" s="321"/>
      <c r="R57" s="321"/>
      <c r="S57" s="322"/>
      <c r="T57" s="331">
        <f>'Project Final Cost Tracking'!C56</f>
        <v>0</v>
      </c>
      <c r="U57" s="342">
        <f t="shared" si="9"/>
        <v>1326660.2359734906</v>
      </c>
      <c r="V57" s="341">
        <f t="shared" si="15"/>
        <v>4.6723187298487341</v>
      </c>
      <c r="W57" s="342">
        <f t="shared" si="10"/>
        <v>2445667.3159734905</v>
      </c>
      <c r="X57" s="343">
        <f t="shared" si="16"/>
        <v>190898.48043672135</v>
      </c>
      <c r="Y57" s="239">
        <f t="shared" si="11"/>
        <v>0</v>
      </c>
      <c r="Z57" s="255">
        <f t="shared" si="12"/>
        <v>0</v>
      </c>
      <c r="AA57" s="240">
        <f t="shared" si="17"/>
        <v>0</v>
      </c>
      <c r="AB57" s="238">
        <f>ROUND($C57*Allocations!$B$16,2)</f>
        <v>263207.65999999997</v>
      </c>
      <c r="AC57" s="241">
        <f>$C57*Allocations!$B$24</f>
        <v>0</v>
      </c>
      <c r="AD57" s="244">
        <f t="shared" si="18"/>
        <v>1135761.76</v>
      </c>
      <c r="AE57" s="153"/>
      <c r="AF57" s="141"/>
      <c r="AG57" s="151"/>
      <c r="AH57" s="146"/>
      <c r="AI57" s="145"/>
      <c r="AJ57" s="146"/>
      <c r="AK57" s="151"/>
      <c r="AL57" s="146"/>
      <c r="AM57" s="145"/>
      <c r="AN57" s="146"/>
      <c r="AO57" s="145"/>
      <c r="AP57" s="146"/>
      <c r="AQ57" s="145"/>
      <c r="AR57" s="146"/>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12">
        <v>416906.11318583705</v>
      </c>
      <c r="G58" s="240">
        <v>84338.61</v>
      </c>
      <c r="H58" s="432">
        <v>426093.06</v>
      </c>
      <c r="I58" s="391">
        <f>$C58*Allocations!$B$16</f>
        <v>417564.71833804424</v>
      </c>
      <c r="J58" s="237">
        <f t="shared" si="6"/>
        <v>1844485.0703191841</v>
      </c>
      <c r="K58" s="165">
        <f t="shared" si="7"/>
        <v>461121.27</v>
      </c>
      <c r="L58" s="827">
        <v>102856.15</v>
      </c>
      <c r="M58" s="430">
        <f t="shared" si="8"/>
        <v>520420.86833804427</v>
      </c>
      <c r="N58" s="239">
        <f t="shared" si="13"/>
        <v>0</v>
      </c>
      <c r="O58" s="240">
        <f t="shared" si="14"/>
        <v>0</v>
      </c>
      <c r="P58" s="320"/>
      <c r="Q58" s="321"/>
      <c r="R58" s="321"/>
      <c r="S58" s="322"/>
      <c r="T58" s="331">
        <f>'Project Final Cost Tracking'!C57</f>
        <v>0</v>
      </c>
      <c r="U58" s="342">
        <f t="shared" si="9"/>
        <v>520420.86833804427</v>
      </c>
      <c r="V58" s="341">
        <f t="shared" si="15"/>
        <v>1.1285987053645221</v>
      </c>
      <c r="W58" s="342">
        <f t="shared" si="10"/>
        <v>2437839.6383380443</v>
      </c>
      <c r="X58" s="343">
        <f t="shared" si="16"/>
        <v>0</v>
      </c>
      <c r="Y58" s="239">
        <f t="shared" si="11"/>
        <v>426093.06</v>
      </c>
      <c r="Z58" s="255">
        <f t="shared" si="12"/>
        <v>7.7345693902946926E-3</v>
      </c>
      <c r="AA58" s="240">
        <f t="shared" si="17"/>
        <v>16935.713870853462</v>
      </c>
      <c r="AB58" s="238">
        <f>ROUND($C58*Allocations!$B$16,2)</f>
        <v>417564.72</v>
      </c>
      <c r="AC58" s="241">
        <f>$C58*Allocations!$B$24</f>
        <v>0</v>
      </c>
      <c r="AD58" s="244">
        <f t="shared" si="18"/>
        <v>537356.57999999996</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6">
        <v>627686.64045986079</v>
      </c>
      <c r="E59" s="344">
        <v>129382.64545238281</v>
      </c>
      <c r="F59" s="610">
        <v>730899.78186212445</v>
      </c>
      <c r="G59" s="344">
        <v>147858.4</v>
      </c>
      <c r="H59" s="433">
        <v>658257.48</v>
      </c>
      <c r="I59" s="392">
        <f>$C59*Allocations!$B$16</f>
        <v>671950.52884478401</v>
      </c>
      <c r="J59" s="388">
        <f t="shared" si="6"/>
        <v>2966035.4766191519</v>
      </c>
      <c r="K59" s="168">
        <f t="shared" si="7"/>
        <v>741508.87</v>
      </c>
      <c r="L59" s="828">
        <v>-1245449.21</v>
      </c>
      <c r="M59" s="431">
        <f t="shared" si="8"/>
        <v>-573498.68115521595</v>
      </c>
      <c r="N59" s="306">
        <f t="shared" si="13"/>
        <v>0</v>
      </c>
      <c r="O59" s="344">
        <f t="shared" si="14"/>
        <v>0</v>
      </c>
      <c r="P59" s="345"/>
      <c r="Q59" s="346"/>
      <c r="R59" s="346"/>
      <c r="S59" s="347"/>
      <c r="T59" s="188">
        <f>'Project Final Cost Tracking'!C58</f>
        <v>45174.350000000093</v>
      </c>
      <c r="U59" s="349">
        <f t="shared" si="9"/>
        <v>-618673.03115521604</v>
      </c>
      <c r="V59" s="348">
        <f t="shared" si="15"/>
        <v>-0.83434339923029655</v>
      </c>
      <c r="W59" s="349">
        <f t="shared" si="10"/>
        <v>2343485.6288447841</v>
      </c>
      <c r="X59" s="350">
        <f t="shared" si="16"/>
        <v>0</v>
      </c>
      <c r="Y59" s="306">
        <f t="shared" si="11"/>
        <v>658257.48</v>
      </c>
      <c r="Z59" s="351">
        <f t="shared" si="12"/>
        <v>1.194888777522103E-2</v>
      </c>
      <c r="AA59" s="344">
        <f t="shared" si="17"/>
        <v>26163.440293134663</v>
      </c>
      <c r="AB59" s="233">
        <f>ROUND($C59*Allocations!$B$16,2)</f>
        <v>671950.53</v>
      </c>
      <c r="AC59" s="242">
        <f>$C59*Allocations!$B$24</f>
        <v>0</v>
      </c>
      <c r="AD59" s="246">
        <f t="shared" si="18"/>
        <v>-592509.59</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12">
        <v>335629.30966596591</v>
      </c>
      <c r="G60" s="240">
        <v>67896.600000000006</v>
      </c>
      <c r="H60" s="432">
        <v>398044.13</v>
      </c>
      <c r="I60" s="391">
        <f>$C60*Allocations!$B$16</f>
        <v>397536.27555715584</v>
      </c>
      <c r="J60" s="237">
        <f t="shared" si="6"/>
        <v>1646764.1341868602</v>
      </c>
      <c r="K60" s="165">
        <f t="shared" si="7"/>
        <v>411691.03</v>
      </c>
      <c r="L60" s="827">
        <v>1346192.68</v>
      </c>
      <c r="M60" s="430">
        <f t="shared" si="8"/>
        <v>1743728.9555571559</v>
      </c>
      <c r="N60" s="239">
        <f t="shared" si="13"/>
        <v>0</v>
      </c>
      <c r="O60" s="240">
        <f t="shared" si="14"/>
        <v>0</v>
      </c>
      <c r="P60" s="320"/>
      <c r="Q60" s="321"/>
      <c r="R60" s="321"/>
      <c r="S60" s="322"/>
      <c r="T60" s="331">
        <f>'Project Final Cost Tracking'!C59</f>
        <v>0</v>
      </c>
      <c r="U60" s="342">
        <f t="shared" si="9"/>
        <v>1743728.9555571559</v>
      </c>
      <c r="V60" s="341">
        <f t="shared" si="15"/>
        <v>4.2355281715930406</v>
      </c>
      <c r="W60" s="342">
        <f t="shared" si="10"/>
        <v>3534927.5405571559</v>
      </c>
      <c r="X60" s="343">
        <f t="shared" si="16"/>
        <v>96964.821370295715</v>
      </c>
      <c r="Y60" s="239">
        <f t="shared" si="11"/>
        <v>0</v>
      </c>
      <c r="Z60" s="255">
        <f t="shared" si="12"/>
        <v>0</v>
      </c>
      <c r="AA60" s="240">
        <f t="shared" si="17"/>
        <v>0</v>
      </c>
      <c r="AB60" s="238">
        <f>ROUND($C60*Allocations!$B$16,2)</f>
        <v>397536.28</v>
      </c>
      <c r="AC60" s="241">
        <f>$C60*Allocations!$B$24</f>
        <v>0</v>
      </c>
      <c r="AD60" s="244">
        <f t="shared" si="18"/>
        <v>1646764.14</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12">
        <v>686178.61298206169</v>
      </c>
      <c r="G61" s="240">
        <v>138811.47</v>
      </c>
      <c r="H61" s="432">
        <v>584506.69999999995</v>
      </c>
      <c r="I61" s="391">
        <f>$C61*Allocations!$B$16</f>
        <v>563260.33216644719</v>
      </c>
      <c r="J61" s="237">
        <f t="shared" si="6"/>
        <v>2793766.790812525</v>
      </c>
      <c r="K61" s="165">
        <f t="shared" si="7"/>
        <v>698441.7</v>
      </c>
      <c r="L61" s="827">
        <v>1720684.85</v>
      </c>
      <c r="M61" s="430">
        <f t="shared" si="8"/>
        <v>2283945.1821664474</v>
      </c>
      <c r="N61" s="239">
        <f t="shared" si="13"/>
        <v>0</v>
      </c>
      <c r="O61" s="240">
        <f t="shared" si="14"/>
        <v>0</v>
      </c>
      <c r="P61" s="320"/>
      <c r="Q61" s="321"/>
      <c r="R61" s="321"/>
      <c r="S61" s="322"/>
      <c r="T61" s="331">
        <f>'Project Final Cost Tracking'!C60</f>
        <v>0</v>
      </c>
      <c r="U61" s="342">
        <f t="shared" si="9"/>
        <v>2283945.1821664474</v>
      </c>
      <c r="V61" s="341">
        <f t="shared" si="15"/>
        <v>3.2700584489248672</v>
      </c>
      <c r="W61" s="342">
        <f t="shared" si="10"/>
        <v>4914225.3321664473</v>
      </c>
      <c r="X61" s="343">
        <f t="shared" si="16"/>
        <v>0</v>
      </c>
      <c r="Y61" s="239">
        <f t="shared" si="11"/>
        <v>584506.69999999995</v>
      </c>
      <c r="Z61" s="255">
        <f t="shared" si="12"/>
        <v>1.0610141433052589E-2</v>
      </c>
      <c r="AA61" s="240">
        <f t="shared" si="17"/>
        <v>23232.103866692367</v>
      </c>
      <c r="AB61" s="238">
        <f>ROUND($C61*Allocations!$B$16,2)</f>
        <v>563260.32999999996</v>
      </c>
      <c r="AC61" s="241">
        <f>$C61*Allocations!$B$24</f>
        <v>0</v>
      </c>
      <c r="AD61" s="244">
        <f t="shared" si="18"/>
        <v>2307177.2799999998</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12">
        <v>256241.57807450608</v>
      </c>
      <c r="G62" s="240">
        <v>51836.75</v>
      </c>
      <c r="H62" s="432">
        <v>313681.28999999998</v>
      </c>
      <c r="I62" s="391">
        <f>$C62*Allocations!$B$16</f>
        <v>312276.74983647565</v>
      </c>
      <c r="J62" s="237">
        <f t="shared" si="6"/>
        <v>1258718.276772876</v>
      </c>
      <c r="K62" s="165">
        <f t="shared" si="7"/>
        <v>314679.57</v>
      </c>
      <c r="L62" s="827">
        <v>-1028414.28</v>
      </c>
      <c r="M62" s="430">
        <f t="shared" si="8"/>
        <v>-716137.53016352444</v>
      </c>
      <c r="N62" s="239">
        <f t="shared" si="13"/>
        <v>0</v>
      </c>
      <c r="O62" s="240">
        <f t="shared" si="14"/>
        <v>0</v>
      </c>
      <c r="P62" s="320"/>
      <c r="Q62" s="321"/>
      <c r="R62" s="321"/>
      <c r="S62" s="322"/>
      <c r="T62" s="331">
        <f>'Project Final Cost Tracking'!C61</f>
        <v>0</v>
      </c>
      <c r="U62" s="342">
        <f t="shared" si="9"/>
        <v>-716137.53016352444</v>
      </c>
      <c r="V62" s="341">
        <f t="shared" si="15"/>
        <v>-2.2757674740801392</v>
      </c>
      <c r="W62" s="342">
        <f t="shared" si="10"/>
        <v>695428.2748364755</v>
      </c>
      <c r="X62" s="343">
        <f t="shared" si="16"/>
        <v>0</v>
      </c>
      <c r="Y62" s="239">
        <f t="shared" si="11"/>
        <v>313681.28999999998</v>
      </c>
      <c r="Z62" s="255">
        <f t="shared" si="12"/>
        <v>5.6940371287487112E-3</v>
      </c>
      <c r="AA62" s="240">
        <f t="shared" si="17"/>
        <v>12467.737855388226</v>
      </c>
      <c r="AB62" s="238">
        <f>ROUND($C62*Allocations!$B$16,2)</f>
        <v>312276.75</v>
      </c>
      <c r="AC62" s="241">
        <f>$C62*Allocations!$B$24</f>
        <v>0</v>
      </c>
      <c r="AD62" s="244">
        <f t="shared" si="18"/>
        <v>-703669.79</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12">
        <v>382555.79384919128</v>
      </c>
      <c r="G63" s="240">
        <v>77389.66</v>
      </c>
      <c r="H63" s="432">
        <v>432805.44</v>
      </c>
      <c r="I63" s="391">
        <f>$C63*Allocations!$B$16</f>
        <v>471129.70285022072</v>
      </c>
      <c r="J63" s="237">
        <f t="shared" si="6"/>
        <v>1761766.8069997658</v>
      </c>
      <c r="K63" s="165">
        <f t="shared" si="7"/>
        <v>440441.7</v>
      </c>
      <c r="L63" s="827">
        <v>1295532.18</v>
      </c>
      <c r="M63" s="430">
        <f t="shared" si="8"/>
        <v>1766661.8828502207</v>
      </c>
      <c r="N63" s="239">
        <f t="shared" si="13"/>
        <v>0</v>
      </c>
      <c r="O63" s="240">
        <f t="shared" si="14"/>
        <v>0</v>
      </c>
      <c r="P63" s="320"/>
      <c r="Q63" s="321"/>
      <c r="R63" s="321"/>
      <c r="S63" s="322"/>
      <c r="T63" s="331">
        <f>'Project Final Cost Tracking'!C62</f>
        <v>0</v>
      </c>
      <c r="U63" s="342">
        <f t="shared" si="9"/>
        <v>1766661.8828502207</v>
      </c>
      <c r="V63" s="341">
        <f t="shared" si="15"/>
        <v>4.0111140313240563</v>
      </c>
      <c r="W63" s="342">
        <f t="shared" si="10"/>
        <v>3714286.3628502209</v>
      </c>
      <c r="X63" s="343">
        <f t="shared" si="16"/>
        <v>4895.0758504548576</v>
      </c>
      <c r="Y63" s="239">
        <f t="shared" si="11"/>
        <v>0</v>
      </c>
      <c r="Z63" s="255">
        <f t="shared" si="12"/>
        <v>0</v>
      </c>
      <c r="AA63" s="240">
        <f t="shared" si="17"/>
        <v>0</v>
      </c>
      <c r="AB63" s="238">
        <f>ROUND($C63*Allocations!$B$16,2)</f>
        <v>471129.7</v>
      </c>
      <c r="AC63" s="241">
        <f>$C63*Allocations!$B$24</f>
        <v>0</v>
      </c>
      <c r="AD63" s="244">
        <f t="shared" si="18"/>
        <v>1761766.8</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6">
        <v>814365.99987922062</v>
      </c>
      <c r="E64" s="344">
        <v>167862.14750987088</v>
      </c>
      <c r="F64" s="610">
        <v>834486.11070044199</v>
      </c>
      <c r="G64" s="344">
        <v>168813.54</v>
      </c>
      <c r="H64" s="433">
        <v>912167.73</v>
      </c>
      <c r="I64" s="392">
        <f>$C64*Allocations!$B$16</f>
        <v>998290.74393566977</v>
      </c>
      <c r="J64" s="388">
        <f t="shared" si="6"/>
        <v>3895986.2720252033</v>
      </c>
      <c r="K64" s="168">
        <f t="shared" si="7"/>
        <v>973996.57</v>
      </c>
      <c r="L64" s="828">
        <v>1449371.94</v>
      </c>
      <c r="M64" s="431">
        <f t="shared" si="8"/>
        <v>2447662.6839356697</v>
      </c>
      <c r="N64" s="306">
        <f t="shared" si="13"/>
        <v>0</v>
      </c>
      <c r="O64" s="344">
        <f t="shared" si="14"/>
        <v>0</v>
      </c>
      <c r="P64" s="345"/>
      <c r="Q64" s="346"/>
      <c r="R64" s="346"/>
      <c r="S64" s="347"/>
      <c r="T64" s="188">
        <f>'Project Final Cost Tracking'!C63</f>
        <v>0</v>
      </c>
      <c r="U64" s="349">
        <f t="shared" si="9"/>
        <v>2447662.6839356697</v>
      </c>
      <c r="V64" s="348">
        <f t="shared" si="15"/>
        <v>2.5130095519080418</v>
      </c>
      <c r="W64" s="349">
        <f t="shared" si="10"/>
        <v>6552417.4689356703</v>
      </c>
      <c r="X64" s="350">
        <f t="shared" si="16"/>
        <v>0</v>
      </c>
      <c r="Y64" s="306">
        <f t="shared" si="11"/>
        <v>912167.73</v>
      </c>
      <c r="Z64" s="351">
        <f t="shared" si="12"/>
        <v>1.6557943007268396E-2</v>
      </c>
      <c r="AA64" s="344">
        <f t="shared" si="17"/>
        <v>36255.487656865182</v>
      </c>
      <c r="AB64" s="233">
        <f>ROUND($C64*Allocations!$B$16,2)</f>
        <v>998290.74</v>
      </c>
      <c r="AC64" s="242">
        <f>$C64*Allocations!$B$24</f>
        <v>0</v>
      </c>
      <c r="AD64" s="246">
        <f t="shared" si="18"/>
        <v>2483918.17</v>
      </c>
      <c r="AE64" s="162"/>
      <c r="AF64" s="159"/>
      <c r="AG64" s="174"/>
      <c r="AH64" s="157"/>
      <c r="AI64" s="156"/>
      <c r="AJ64" s="157"/>
      <c r="AK64" s="174"/>
      <c r="AL64" s="157"/>
      <c r="AM64" s="156"/>
      <c r="AN64" s="157"/>
      <c r="AO64" s="156"/>
      <c r="AP64" s="157"/>
      <c r="AQ64" s="156"/>
      <c r="AR64" s="157"/>
      <c r="AS64" s="156"/>
      <c r="AT64" s="157"/>
      <c r="AU64" s="156"/>
      <c r="AV64" s="157"/>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12">
        <v>953438.22824239614</v>
      </c>
      <c r="G65" s="240">
        <v>192877.13</v>
      </c>
      <c r="H65" s="432">
        <v>934470.39</v>
      </c>
      <c r="I65" s="391">
        <f>$C65*Allocations!$B$16</f>
        <v>931623.45771979459</v>
      </c>
      <c r="J65" s="237">
        <f t="shared" si="6"/>
        <v>4228052.9139739871</v>
      </c>
      <c r="K65" s="165">
        <f t="shared" si="7"/>
        <v>1057013.23</v>
      </c>
      <c r="L65" s="827">
        <v>-286281.28999999998</v>
      </c>
      <c r="M65" s="430">
        <f t="shared" si="8"/>
        <v>645342.16771979467</v>
      </c>
      <c r="N65" s="239">
        <f t="shared" si="13"/>
        <v>0</v>
      </c>
      <c r="O65" s="240">
        <f t="shared" si="14"/>
        <v>0</v>
      </c>
      <c r="P65" s="320"/>
      <c r="Q65" s="321"/>
      <c r="R65" s="321"/>
      <c r="S65" s="322"/>
      <c r="T65" s="331">
        <f>'Project Final Cost Tracking'!C64</f>
        <v>0</v>
      </c>
      <c r="U65" s="342">
        <f t="shared" si="9"/>
        <v>645342.16771979467</v>
      </c>
      <c r="V65" s="341">
        <f t="shared" si="15"/>
        <v>0.61053367110626866</v>
      </c>
      <c r="W65" s="342">
        <f t="shared" si="10"/>
        <v>4850458.9227197943</v>
      </c>
      <c r="X65" s="343">
        <f t="shared" si="16"/>
        <v>0</v>
      </c>
      <c r="Y65" s="239">
        <f t="shared" si="11"/>
        <v>934470.39</v>
      </c>
      <c r="Z65" s="255">
        <f t="shared" si="12"/>
        <v>1.6962787600039164E-2</v>
      </c>
      <c r="AA65" s="240">
        <f t="shared" si="17"/>
        <v>37141.940649830918</v>
      </c>
      <c r="AB65" s="238">
        <f>ROUND($C65*Allocations!$B$16,2)</f>
        <v>931623.46</v>
      </c>
      <c r="AC65" s="241">
        <f>$C65*Allocations!$B$24</f>
        <v>0</v>
      </c>
      <c r="AD65" s="244">
        <f t="shared" si="18"/>
        <v>682484.11</v>
      </c>
      <c r="AE65" s="153"/>
      <c r="AF65" s="141"/>
      <c r="AG65" s="151"/>
      <c r="AH65" s="146"/>
      <c r="AI65" s="145"/>
      <c r="AJ65" s="146"/>
      <c r="AK65" s="151"/>
      <c r="AL65" s="146"/>
      <c r="AM65" s="145"/>
      <c r="AN65" s="146"/>
      <c r="AO65" s="145"/>
      <c r="AP65" s="146"/>
      <c r="AQ65" s="145"/>
      <c r="AR65" s="146"/>
      <c r="AS65" s="145"/>
      <c r="AT65" s="146"/>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12">
        <v>930621.22638067033</v>
      </c>
      <c r="G66" s="240">
        <v>188261.33</v>
      </c>
      <c r="H66" s="432">
        <v>904721.06</v>
      </c>
      <c r="I66" s="391">
        <f>$C66*Allocations!$B$16</f>
        <v>807892.27651341574</v>
      </c>
      <c r="J66" s="237">
        <f t="shared" si="6"/>
        <v>3966454.5480567412</v>
      </c>
      <c r="K66" s="165">
        <f t="shared" si="7"/>
        <v>991613.64</v>
      </c>
      <c r="L66" s="827">
        <v>1606824.26</v>
      </c>
      <c r="M66" s="430">
        <f t="shared" si="8"/>
        <v>2414716.5365134156</v>
      </c>
      <c r="N66" s="239">
        <f t="shared" si="13"/>
        <v>0</v>
      </c>
      <c r="O66" s="240">
        <f t="shared" si="14"/>
        <v>0</v>
      </c>
      <c r="P66" s="320"/>
      <c r="Q66" s="321"/>
      <c r="R66" s="321"/>
      <c r="S66" s="322"/>
      <c r="T66" s="331">
        <f>'Project Final Cost Tracking'!C65</f>
        <v>0</v>
      </c>
      <c r="U66" s="342">
        <f t="shared" si="9"/>
        <v>2414716.5365134156</v>
      </c>
      <c r="V66" s="341">
        <f t="shared" si="15"/>
        <v>2.4351384844942388</v>
      </c>
      <c r="W66" s="342">
        <f t="shared" si="10"/>
        <v>6485961.3065134156</v>
      </c>
      <c r="X66" s="343">
        <f t="shared" si="16"/>
        <v>0</v>
      </c>
      <c r="Y66" s="239">
        <f t="shared" si="11"/>
        <v>904721.06</v>
      </c>
      <c r="Z66" s="255">
        <f t="shared" si="12"/>
        <v>1.642276881353329E-2</v>
      </c>
      <c r="AA66" s="240">
        <f t="shared" si="17"/>
        <v>35959.508481774494</v>
      </c>
      <c r="AB66" s="238">
        <f>ROUND($C66*Allocations!$B$16,2)</f>
        <v>807892.28</v>
      </c>
      <c r="AC66" s="241">
        <f>$C66*Allocations!$B$24</f>
        <v>0</v>
      </c>
      <c r="AD66" s="244">
        <f t="shared" si="18"/>
        <v>2450676.0499999998</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12">
        <v>479488.49295222393</v>
      </c>
      <c r="G67" s="240">
        <v>96998.8</v>
      </c>
      <c r="H67" s="432">
        <v>460104.02</v>
      </c>
      <c r="I67" s="391">
        <f>$C67*Allocations!$B$16</f>
        <v>413700.67585298885</v>
      </c>
      <c r="J67" s="237">
        <f t="shared" si="6"/>
        <v>2022370.0933251078</v>
      </c>
      <c r="K67" s="165">
        <f t="shared" si="7"/>
        <v>505592.52</v>
      </c>
      <c r="L67" s="827">
        <v>-340260.77</v>
      </c>
      <c r="M67" s="430">
        <f t="shared" si="8"/>
        <v>73439.905852988828</v>
      </c>
      <c r="N67" s="239">
        <f t="shared" si="13"/>
        <v>0</v>
      </c>
      <c r="O67" s="240">
        <f t="shared" si="14"/>
        <v>0</v>
      </c>
      <c r="P67" s="320"/>
      <c r="Q67" s="321"/>
      <c r="R67" s="321"/>
      <c r="S67" s="322"/>
      <c r="T67" s="331">
        <f>'Project Final Cost Tracking'!C66</f>
        <v>0</v>
      </c>
      <c r="U67" s="342">
        <f t="shared" si="9"/>
        <v>73439.905852988828</v>
      </c>
      <c r="V67" s="341">
        <f t="shared" si="15"/>
        <v>0.14525512729695611</v>
      </c>
      <c r="W67" s="342">
        <f t="shared" si="10"/>
        <v>2143907.9958529891</v>
      </c>
      <c r="X67" s="343">
        <f t="shared" si="16"/>
        <v>0</v>
      </c>
      <c r="Y67" s="239">
        <f t="shared" si="11"/>
        <v>460104.02</v>
      </c>
      <c r="Z67" s="255">
        <f t="shared" si="12"/>
        <v>8.351946566422689E-3</v>
      </c>
      <c r="AA67" s="240">
        <f t="shared" si="17"/>
        <v>18287.530976330472</v>
      </c>
      <c r="AB67" s="238">
        <f>ROUND($C67*Allocations!$B$16,2)</f>
        <v>413700.68</v>
      </c>
      <c r="AC67" s="241">
        <f>$C67*Allocations!$B$24</f>
        <v>0</v>
      </c>
      <c r="AD67" s="244">
        <f t="shared" si="18"/>
        <v>91727.44</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12">
        <v>1360320.3815775551</v>
      </c>
      <c r="G68" s="240">
        <v>275187.93</v>
      </c>
      <c r="H68" s="432">
        <v>1410814.75</v>
      </c>
      <c r="I68" s="391">
        <f>$C68*Allocations!$B$16</f>
        <v>1409114.3126409266</v>
      </c>
      <c r="J68" s="237">
        <f t="shared" si="6"/>
        <v>5968065.9914137283</v>
      </c>
      <c r="K68" s="165">
        <f t="shared" si="7"/>
        <v>1492016.5</v>
      </c>
      <c r="L68" s="827">
        <v>2523469.64</v>
      </c>
      <c r="M68" s="430">
        <f t="shared" si="8"/>
        <v>3932583.9526409265</v>
      </c>
      <c r="N68" s="239">
        <f t="shared" si="13"/>
        <v>285273.82</v>
      </c>
      <c r="O68" s="240">
        <f t="shared" si="14"/>
        <v>285273.82</v>
      </c>
      <c r="P68" s="320"/>
      <c r="Q68" s="321"/>
      <c r="R68" s="321"/>
      <c r="S68" s="322"/>
      <c r="T68" s="331">
        <f>'Project Final Cost Tracking'!C67</f>
        <v>0</v>
      </c>
      <c r="U68" s="342">
        <f t="shared" si="9"/>
        <v>3647310.1326409266</v>
      </c>
      <c r="V68" s="341">
        <f t="shared" si="15"/>
        <v>2.4445508026492515</v>
      </c>
      <c r="W68" s="342">
        <f t="shared" si="10"/>
        <v>9995976.5076409262</v>
      </c>
      <c r="X68" s="343">
        <f t="shared" si="16"/>
        <v>0</v>
      </c>
      <c r="Y68" s="239">
        <f t="shared" si="11"/>
        <v>1410814.75</v>
      </c>
      <c r="Z68" s="255">
        <f t="shared" si="12"/>
        <v>2.5609533703098236E-2</v>
      </c>
      <c r="AA68" s="240">
        <f t="shared" si="17"/>
        <v>56074.968531005077</v>
      </c>
      <c r="AB68" s="238">
        <f>ROUND($C68*Allocations!$B$16,2)</f>
        <v>1409114.31</v>
      </c>
      <c r="AC68" s="241">
        <f>$C68*Allocations!$B$24</f>
        <v>0</v>
      </c>
      <c r="AD68" s="244">
        <f t="shared" si="18"/>
        <v>3703385.1</v>
      </c>
      <c r="AE68" s="153"/>
      <c r="AF68" s="141"/>
      <c r="AG68" s="151"/>
      <c r="AH68" s="146"/>
      <c r="AI68" s="145"/>
      <c r="AJ68" s="146"/>
      <c r="AK68" s="846">
        <f>Marshall!C8+Marshall!C9</f>
        <v>285273.82</v>
      </c>
      <c r="AL68" s="847">
        <f>Marshall!D8+Marshall!D9</f>
        <v>285273.82</v>
      </c>
      <c r="AM68" s="145"/>
      <c r="AN68" s="146"/>
      <c r="AO68" s="145"/>
      <c r="AP68" s="146"/>
      <c r="AQ68" s="145"/>
      <c r="AR68" s="146"/>
      <c r="AS68" s="145"/>
      <c r="AT68" s="146"/>
      <c r="AU68" s="145"/>
      <c r="AV68" s="146"/>
      <c r="AW68" s="148"/>
      <c r="AX68" s="141"/>
      <c r="AY68" s="145"/>
      <c r="AZ68" s="146"/>
      <c r="BA68" s="149"/>
      <c r="BB68" s="150"/>
      <c r="BC68" s="179"/>
      <c r="BD68" s="848" t="s">
        <v>857</v>
      </c>
    </row>
    <row r="69" spans="1:56" s="30" customFormat="1" ht="12.75">
      <c r="A69" s="98" t="s">
        <v>66</v>
      </c>
      <c r="B69" s="46">
        <v>65</v>
      </c>
      <c r="C69" s="248">
        <v>8.3072904024799714E-3</v>
      </c>
      <c r="D69" s="306">
        <v>472278.35915283539</v>
      </c>
      <c r="E69" s="344">
        <v>97348.931072258376</v>
      </c>
      <c r="F69" s="610">
        <v>462057.65419755381</v>
      </c>
      <c r="G69" s="344">
        <v>93472.6</v>
      </c>
      <c r="H69" s="433">
        <v>466088.35</v>
      </c>
      <c r="I69" s="392">
        <f>$C69*Allocations!$B$16</f>
        <v>480008.71388032555</v>
      </c>
      <c r="J69" s="388">
        <f t="shared" si="6"/>
        <v>2071254.6083029732</v>
      </c>
      <c r="K69" s="168">
        <f t="shared" si="7"/>
        <v>517813.65</v>
      </c>
      <c r="L69" s="828">
        <v>-64197.35</v>
      </c>
      <c r="M69" s="431">
        <f t="shared" si="8"/>
        <v>415811.36388032557</v>
      </c>
      <c r="N69" s="306">
        <f t="shared" ref="N69:N103" si="19">AE69+AG69+AI69+AK69+AM69+AO69+AQ69+AS69+AU69+AW69+AY69+BA69+BC69</f>
        <v>0</v>
      </c>
      <c r="O69" s="344">
        <f t="shared" ref="O69:O103" si="20">AF69+AH69+AJ69+AL69+AN69+AP69+AR69+AT69+AV69+AX69+AZ69+BB69+BC69</f>
        <v>0</v>
      </c>
      <c r="P69" s="345"/>
      <c r="Q69" s="346"/>
      <c r="R69" s="346"/>
      <c r="S69" s="347"/>
      <c r="T69" s="188">
        <f>'Project Final Cost Tracking'!C68</f>
        <v>0</v>
      </c>
      <c r="U69" s="349">
        <f t="shared" si="9"/>
        <v>415811.36388032557</v>
      </c>
      <c r="V69" s="348">
        <f t="shared" ref="V69:V103" si="21">$U69/$K69</f>
        <v>0.80301352403577142</v>
      </c>
      <c r="W69" s="349">
        <f t="shared" si="10"/>
        <v>2513208.9388803253</v>
      </c>
      <c r="X69" s="350">
        <f t="shared" ref="X69:X103" si="22">IF((($U69-$J69)-($Q69+$S69))&gt;0,(($U69-$J69)-($Q69+$S69)),0)</f>
        <v>0</v>
      </c>
      <c r="Y69" s="306">
        <f t="shared" si="11"/>
        <v>466088.35</v>
      </c>
      <c r="Z69" s="351">
        <f t="shared" si="12"/>
        <v>8.4605759246183434E-3</v>
      </c>
      <c r="AA69" s="344">
        <f t="shared" ref="AA69:AA103" si="23">IF($Z69&gt;0,$Z69*$X$104,0)</f>
        <v>18525.38723380804</v>
      </c>
      <c r="AB69" s="233">
        <f>ROUND($C69*Allocations!$B$16,2)</f>
        <v>480008.71</v>
      </c>
      <c r="AC69" s="242">
        <f>$C69*Allocations!$B$24</f>
        <v>0</v>
      </c>
      <c r="AD69" s="246">
        <f t="shared" ref="AD69:AD103" si="24">ROUND($L69+$AB69+$AC69+$AA69-$O69-$T69-$X69,2)</f>
        <v>434336.75</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12">
        <v>327085.26928077778</v>
      </c>
      <c r="G70" s="240">
        <v>66168.179999999993</v>
      </c>
      <c r="H70" s="432">
        <v>312477</v>
      </c>
      <c r="I70" s="391">
        <f>$C70*Allocations!$B$16</f>
        <v>305915.30577573326</v>
      </c>
      <c r="J70" s="237">
        <f t="shared" ref="J70:J103" si="25">SUM(D70:I70)</f>
        <v>1411746.3991218915</v>
      </c>
      <c r="K70" s="165">
        <f t="shared" ref="K70:K103" si="26">ROUND(AVERAGE((D70+E70),(F70+G70),H70,I70),2)</f>
        <v>352936.6</v>
      </c>
      <c r="L70" s="827">
        <v>-354703.63</v>
      </c>
      <c r="M70" s="430">
        <f t="shared" ref="M70:M103" si="27">$L70+$I70</f>
        <v>-48788.324224266747</v>
      </c>
      <c r="N70" s="239">
        <f t="shared" si="19"/>
        <v>498494.64</v>
      </c>
      <c r="O70" s="240">
        <f t="shared" si="20"/>
        <v>498494.64</v>
      </c>
      <c r="P70" s="320"/>
      <c r="Q70" s="321"/>
      <c r="R70" s="321"/>
      <c r="S70" s="322"/>
      <c r="T70" s="331">
        <f>'Project Final Cost Tracking'!C69</f>
        <v>0</v>
      </c>
      <c r="U70" s="342">
        <f t="shared" ref="U70:U103" si="28">$M70-$O70-$T70</f>
        <v>-547282.96422426682</v>
      </c>
      <c r="V70" s="341">
        <f t="shared" si="21"/>
        <v>-1.5506551721308215</v>
      </c>
      <c r="W70" s="342">
        <f t="shared" ref="W70:W103" si="29">(($H70)*4.5)+$U70</f>
        <v>858863.53577573318</v>
      </c>
      <c r="X70" s="343">
        <f t="shared" si="22"/>
        <v>0</v>
      </c>
      <c r="Y70" s="239">
        <f t="shared" ref="Y70:Y103" si="30">IF($X70&gt;0,0,($H70))</f>
        <v>312477</v>
      </c>
      <c r="Z70" s="255">
        <f t="shared" ref="Z70:Z103" si="31">IF($Y70&gt;0,$Y70/$Y$104,0)</f>
        <v>5.6721764944285052E-3</v>
      </c>
      <c r="AA70" s="240">
        <f t="shared" si="23"/>
        <v>12419.871525771101</v>
      </c>
      <c r="AB70" s="238">
        <f>ROUND($C70*Allocations!$B$16,2)</f>
        <v>305915.31</v>
      </c>
      <c r="AC70" s="241">
        <f>$C70*Allocations!$B$24</f>
        <v>0</v>
      </c>
      <c r="AD70" s="244">
        <f t="shared" si="24"/>
        <v>-534863.09</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12">
        <v>880117.06023567275</v>
      </c>
      <c r="G71" s="240">
        <v>178044.52</v>
      </c>
      <c r="H71" s="432">
        <v>842188.58</v>
      </c>
      <c r="I71" s="391">
        <f>$C71*Allocations!$B$16</f>
        <v>871106.57236563659</v>
      </c>
      <c r="J71" s="237">
        <f t="shared" si="25"/>
        <v>3882335.0683850646</v>
      </c>
      <c r="K71" s="165">
        <f t="shared" si="26"/>
        <v>970583.77</v>
      </c>
      <c r="L71" s="827">
        <v>496935.69</v>
      </c>
      <c r="M71" s="430">
        <f t="shared" si="27"/>
        <v>1368042.2623656366</v>
      </c>
      <c r="N71" s="239">
        <f t="shared" si="19"/>
        <v>0</v>
      </c>
      <c r="O71" s="240">
        <f t="shared" si="20"/>
        <v>0</v>
      </c>
      <c r="P71" s="320"/>
      <c r="Q71" s="321"/>
      <c r="R71" s="321"/>
      <c r="S71" s="322"/>
      <c r="T71" s="331">
        <f>'Project Final Cost Tracking'!C70</f>
        <v>0</v>
      </c>
      <c r="U71" s="342">
        <f t="shared" si="28"/>
        <v>1368042.2623656366</v>
      </c>
      <c r="V71" s="341">
        <f t="shared" si="21"/>
        <v>1.4095045730732099</v>
      </c>
      <c r="W71" s="342">
        <f t="shared" si="29"/>
        <v>5157890.8723656368</v>
      </c>
      <c r="X71" s="343">
        <f t="shared" si="22"/>
        <v>0</v>
      </c>
      <c r="Y71" s="239">
        <f t="shared" si="30"/>
        <v>842188.58</v>
      </c>
      <c r="Z71" s="255">
        <f t="shared" si="31"/>
        <v>1.5287660427334237E-2</v>
      </c>
      <c r="AA71" s="240">
        <f t="shared" si="23"/>
        <v>33474.060375872774</v>
      </c>
      <c r="AB71" s="238">
        <f>ROUND($C71*Allocations!$B$16,2)</f>
        <v>871106.57</v>
      </c>
      <c r="AC71" s="241">
        <f>$C71*Allocations!$B$24</f>
        <v>0</v>
      </c>
      <c r="AD71" s="244">
        <f t="shared" si="24"/>
        <v>1401516.32</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12">
        <v>387488.9289647924</v>
      </c>
      <c r="G72" s="240">
        <v>78387.62</v>
      </c>
      <c r="H72" s="432">
        <v>366945.02</v>
      </c>
      <c r="I72" s="391">
        <f>$C72*Allocations!$B$16</f>
        <v>415858.0131557142</v>
      </c>
      <c r="J72" s="237">
        <f t="shared" si="25"/>
        <v>1799070.209974675</v>
      </c>
      <c r="K72" s="165">
        <f t="shared" si="26"/>
        <v>449767.55</v>
      </c>
      <c r="L72" s="827">
        <v>2059727.77</v>
      </c>
      <c r="M72" s="430">
        <f t="shared" si="27"/>
        <v>2475585.7831557142</v>
      </c>
      <c r="N72" s="239">
        <f t="shared" si="19"/>
        <v>0</v>
      </c>
      <c r="O72" s="240">
        <f t="shared" si="20"/>
        <v>0</v>
      </c>
      <c r="P72" s="320"/>
      <c r="Q72" s="321"/>
      <c r="R72" s="321"/>
      <c r="S72" s="322"/>
      <c r="T72" s="331">
        <f>'Project Final Cost Tracking'!C71</f>
        <v>0</v>
      </c>
      <c r="U72" s="342">
        <f t="shared" si="28"/>
        <v>2475585.7831557142</v>
      </c>
      <c r="V72" s="341">
        <f t="shared" si="21"/>
        <v>5.5041449369918176</v>
      </c>
      <c r="W72" s="342">
        <f t="shared" si="29"/>
        <v>4126838.373155714</v>
      </c>
      <c r="X72" s="343">
        <f t="shared" si="22"/>
        <v>676515.57318103919</v>
      </c>
      <c r="Y72" s="239">
        <f t="shared" si="30"/>
        <v>0</v>
      </c>
      <c r="Z72" s="255">
        <f t="shared" si="31"/>
        <v>0</v>
      </c>
      <c r="AA72" s="240">
        <f t="shared" si="23"/>
        <v>0</v>
      </c>
      <c r="AB72" s="238">
        <f>ROUND($C72*Allocations!$B$16,2)</f>
        <v>415858.01</v>
      </c>
      <c r="AC72" s="241">
        <f>$C72*Allocations!$B$24</f>
        <v>0</v>
      </c>
      <c r="AD72" s="244">
        <f t="shared" si="24"/>
        <v>1799070.21</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12">
        <v>638971.72954721679</v>
      </c>
      <c r="G73" s="240">
        <v>129261.69</v>
      </c>
      <c r="H73" s="432">
        <v>571391.02</v>
      </c>
      <c r="I73" s="391">
        <f>$C73*Allocations!$B$16</f>
        <v>545657.6949523869</v>
      </c>
      <c r="J73" s="237">
        <f t="shared" si="25"/>
        <v>2665338.1975616957</v>
      </c>
      <c r="K73" s="165">
        <f t="shared" si="26"/>
        <v>666334.55000000005</v>
      </c>
      <c r="L73" s="827">
        <v>1596547.45</v>
      </c>
      <c r="M73" s="430">
        <f t="shared" si="27"/>
        <v>2142205.1449523866</v>
      </c>
      <c r="N73" s="239">
        <f t="shared" si="19"/>
        <v>0</v>
      </c>
      <c r="O73" s="240">
        <f t="shared" si="20"/>
        <v>0</v>
      </c>
      <c r="P73" s="320"/>
      <c r="Q73" s="321"/>
      <c r="R73" s="321"/>
      <c r="S73" s="322"/>
      <c r="T73" s="331">
        <f>'Project Final Cost Tracking'!C72</f>
        <v>0</v>
      </c>
      <c r="U73" s="342">
        <f t="shared" si="28"/>
        <v>2142205.1449523866</v>
      </c>
      <c r="V73" s="341">
        <f t="shared" si="21"/>
        <v>3.2149093048715343</v>
      </c>
      <c r="W73" s="342">
        <f t="shared" si="29"/>
        <v>4713464.7349523865</v>
      </c>
      <c r="X73" s="343">
        <f t="shared" si="22"/>
        <v>0</v>
      </c>
      <c r="Y73" s="239">
        <f t="shared" si="30"/>
        <v>571391.02</v>
      </c>
      <c r="Z73" s="255">
        <f t="shared" si="31"/>
        <v>1.0372061664607404E-2</v>
      </c>
      <c r="AA73" s="240">
        <f t="shared" si="23"/>
        <v>22710.801304989825</v>
      </c>
      <c r="AB73" s="238">
        <f>ROUND($C73*Allocations!$B$16,2)</f>
        <v>545657.68999999994</v>
      </c>
      <c r="AC73" s="241">
        <f>$C73*Allocations!$B$24</f>
        <v>0</v>
      </c>
      <c r="AD73" s="244">
        <f t="shared" si="24"/>
        <v>2164915.94</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6">
        <v>718620.1701970963</v>
      </c>
      <c r="E74" s="344">
        <v>148126.42599406667</v>
      </c>
      <c r="F74" s="610">
        <v>744136.78792099888</v>
      </c>
      <c r="G74" s="344">
        <v>150536.20000000001</v>
      </c>
      <c r="H74" s="433">
        <v>732429.73</v>
      </c>
      <c r="I74" s="392">
        <f>$C74*Allocations!$B$16</f>
        <v>770900.75175421673</v>
      </c>
      <c r="J74" s="388">
        <f t="shared" si="25"/>
        <v>3264750.0658663786</v>
      </c>
      <c r="K74" s="168">
        <f t="shared" si="26"/>
        <v>816187.52</v>
      </c>
      <c r="L74" s="828">
        <v>1964545.14</v>
      </c>
      <c r="M74" s="431">
        <f t="shared" si="27"/>
        <v>2735445.8917542165</v>
      </c>
      <c r="N74" s="306">
        <f t="shared" si="19"/>
        <v>0</v>
      </c>
      <c r="O74" s="344">
        <f t="shared" si="20"/>
        <v>0</v>
      </c>
      <c r="P74" s="345"/>
      <c r="Q74" s="352"/>
      <c r="R74" s="346"/>
      <c r="S74" s="347"/>
      <c r="T74" s="188">
        <f>'Project Final Cost Tracking'!C73</f>
        <v>0</v>
      </c>
      <c r="U74" s="349">
        <f t="shared" si="28"/>
        <v>2735445.8917542165</v>
      </c>
      <c r="V74" s="348">
        <f t="shared" si="21"/>
        <v>3.3514919362577564</v>
      </c>
      <c r="W74" s="349">
        <f t="shared" si="29"/>
        <v>6031379.6767542167</v>
      </c>
      <c r="X74" s="350">
        <f t="shared" si="22"/>
        <v>0</v>
      </c>
      <c r="Y74" s="306">
        <f t="shared" si="30"/>
        <v>732429.73</v>
      </c>
      <c r="Z74" s="351">
        <f t="shared" si="31"/>
        <v>1.3295284767604068E-2</v>
      </c>
      <c r="AA74" s="344">
        <f t="shared" si="23"/>
        <v>29111.52868292775</v>
      </c>
      <c r="AB74" s="233">
        <f>ROUND($C74*Allocations!$B$16,2)</f>
        <v>770900.75</v>
      </c>
      <c r="AC74" s="242">
        <f>$C74*Allocations!$B$24</f>
        <v>0</v>
      </c>
      <c r="AD74" s="246">
        <f t="shared" si="24"/>
        <v>2764557.42</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12">
        <v>219176.97523848983</v>
      </c>
      <c r="G75" s="240">
        <v>44338.71</v>
      </c>
      <c r="H75" s="432">
        <v>235094.64</v>
      </c>
      <c r="I75" s="391">
        <f>$C75*Allocations!$B$16</f>
        <v>252124.77391703884</v>
      </c>
      <c r="J75" s="237">
        <f t="shared" si="25"/>
        <v>1003067.7817211474</v>
      </c>
      <c r="K75" s="165">
        <f t="shared" si="26"/>
        <v>250766.95</v>
      </c>
      <c r="L75" s="827">
        <v>574786.14</v>
      </c>
      <c r="M75" s="430">
        <f t="shared" si="27"/>
        <v>826910.91391703882</v>
      </c>
      <c r="N75" s="239">
        <f t="shared" si="19"/>
        <v>0</v>
      </c>
      <c r="O75" s="240">
        <f t="shared" si="20"/>
        <v>0</v>
      </c>
      <c r="P75" s="320"/>
      <c r="Q75" s="321"/>
      <c r="R75" s="321"/>
      <c r="S75" s="322"/>
      <c r="T75" s="331">
        <f>'Project Final Cost Tracking'!C74</f>
        <v>0</v>
      </c>
      <c r="U75" s="342">
        <f t="shared" si="28"/>
        <v>826910.91391703882</v>
      </c>
      <c r="V75" s="341">
        <f t="shared" si="21"/>
        <v>3.2975275008011971</v>
      </c>
      <c r="W75" s="342">
        <f t="shared" si="29"/>
        <v>1884836.7939170389</v>
      </c>
      <c r="X75" s="343">
        <f t="shared" si="22"/>
        <v>0</v>
      </c>
      <c r="Y75" s="239">
        <f t="shared" si="30"/>
        <v>235094.64</v>
      </c>
      <c r="Z75" s="255">
        <f t="shared" si="31"/>
        <v>4.2675086197516343E-3</v>
      </c>
      <c r="AA75" s="240">
        <f t="shared" si="23"/>
        <v>9344.1924531962595</v>
      </c>
      <c r="AB75" s="238">
        <f>ROUND($C75*Allocations!$B$16,2)</f>
        <v>252124.77</v>
      </c>
      <c r="AC75" s="241">
        <f>$C75*Allocations!$B$24</f>
        <v>0</v>
      </c>
      <c r="AD75" s="244">
        <f t="shared" si="24"/>
        <v>836255.1</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12">
        <v>216308.91920023636</v>
      </c>
      <c r="G76" s="240">
        <v>43758.52</v>
      </c>
      <c r="H76" s="432">
        <v>247920.6</v>
      </c>
      <c r="I76" s="391">
        <f>$C76*Allocations!$B$16</f>
        <v>246089.17219873247</v>
      </c>
      <c r="J76" s="237">
        <f t="shared" si="25"/>
        <v>1030232.0348799599</v>
      </c>
      <c r="K76" s="165">
        <f t="shared" si="26"/>
        <v>257558.01</v>
      </c>
      <c r="L76" s="827">
        <v>-156416.01999999999</v>
      </c>
      <c r="M76" s="430">
        <f t="shared" si="27"/>
        <v>89673.152198732481</v>
      </c>
      <c r="N76" s="239">
        <f t="shared" si="19"/>
        <v>0</v>
      </c>
      <c r="O76" s="240">
        <f t="shared" si="20"/>
        <v>0</v>
      </c>
      <c r="P76" s="320"/>
      <c r="Q76" s="321"/>
      <c r="R76" s="321"/>
      <c r="S76" s="322"/>
      <c r="T76" s="331">
        <f>'Project Final Cost Tracking'!C75</f>
        <v>0</v>
      </c>
      <c r="U76" s="342">
        <f t="shared" si="28"/>
        <v>89673.152198732481</v>
      </c>
      <c r="V76" s="341">
        <f t="shared" si="21"/>
        <v>0.34816681569613184</v>
      </c>
      <c r="W76" s="342">
        <f t="shared" si="29"/>
        <v>1205315.8521987326</v>
      </c>
      <c r="X76" s="343">
        <f t="shared" si="22"/>
        <v>0</v>
      </c>
      <c r="Y76" s="239">
        <f t="shared" si="30"/>
        <v>247920.6</v>
      </c>
      <c r="Z76" s="255">
        <f t="shared" si="31"/>
        <v>4.5003293036115031E-3</v>
      </c>
      <c r="AA76" s="240">
        <f t="shared" si="23"/>
        <v>9853.979654797271</v>
      </c>
      <c r="AB76" s="238">
        <f>ROUND($C76*Allocations!$B$16,2)</f>
        <v>246089.17</v>
      </c>
      <c r="AC76" s="241">
        <f>$C76*Allocations!$B$24</f>
        <v>0</v>
      </c>
      <c r="AD76" s="244">
        <f t="shared" si="24"/>
        <v>99527.13</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12">
        <v>698977.05386419536</v>
      </c>
      <c r="G77" s="240">
        <v>141400.54999999999</v>
      </c>
      <c r="H77" s="432">
        <v>838934.89</v>
      </c>
      <c r="I77" s="391">
        <f>$C77*Allocations!$B$16</f>
        <v>812546.77275532973</v>
      </c>
      <c r="J77" s="237">
        <f t="shared" si="25"/>
        <v>3391291.2102531884</v>
      </c>
      <c r="K77" s="165">
        <f t="shared" si="26"/>
        <v>847822.8</v>
      </c>
      <c r="L77" s="827">
        <v>-2219295.66</v>
      </c>
      <c r="M77" s="430">
        <f t="shared" si="27"/>
        <v>-1406748.8872446704</v>
      </c>
      <c r="N77" s="239">
        <f t="shared" si="19"/>
        <v>0</v>
      </c>
      <c r="O77" s="240">
        <f t="shared" si="20"/>
        <v>0</v>
      </c>
      <c r="P77" s="320"/>
      <c r="Q77" s="321"/>
      <c r="R77" s="321"/>
      <c r="S77" s="322"/>
      <c r="T77" s="331">
        <f>'Project Final Cost Tracking'!C76</f>
        <v>0</v>
      </c>
      <c r="U77" s="342">
        <f t="shared" si="28"/>
        <v>-1406748.8872446704</v>
      </c>
      <c r="V77" s="341">
        <f t="shared" si="21"/>
        <v>-1.6592487100425588</v>
      </c>
      <c r="W77" s="342">
        <f t="shared" si="29"/>
        <v>2368458.1177553292</v>
      </c>
      <c r="X77" s="343">
        <f t="shared" si="22"/>
        <v>0</v>
      </c>
      <c r="Y77" s="239">
        <f t="shared" si="30"/>
        <v>838934.89</v>
      </c>
      <c r="Z77" s="255">
        <f t="shared" si="31"/>
        <v>1.5228598467771911E-2</v>
      </c>
      <c r="AA77" s="240">
        <f t="shared" si="23"/>
        <v>33344.737540001057</v>
      </c>
      <c r="AB77" s="238">
        <f>ROUND($C77*Allocations!$B$16,2)</f>
        <v>812546.77</v>
      </c>
      <c r="AC77" s="241">
        <f>$C77*Allocations!$B$24</f>
        <v>0</v>
      </c>
      <c r="AD77" s="244">
        <f t="shared" si="24"/>
        <v>-1373404.15</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12">
        <v>276364.84386294242</v>
      </c>
      <c r="G78" s="240">
        <v>55907.62</v>
      </c>
      <c r="H78" s="432">
        <v>278148.25</v>
      </c>
      <c r="I78" s="391">
        <f>$C78*Allocations!$B$16</f>
        <v>278234.79383637675</v>
      </c>
      <c r="J78" s="237">
        <f t="shared" si="25"/>
        <v>1225677.5249876198</v>
      </c>
      <c r="K78" s="165">
        <f t="shared" si="26"/>
        <v>306419.38</v>
      </c>
      <c r="L78" s="827">
        <v>409493.84</v>
      </c>
      <c r="M78" s="430">
        <f t="shared" si="27"/>
        <v>687728.63383637671</v>
      </c>
      <c r="N78" s="239">
        <f t="shared" si="19"/>
        <v>0</v>
      </c>
      <c r="O78" s="240">
        <f t="shared" si="20"/>
        <v>0</v>
      </c>
      <c r="P78" s="320"/>
      <c r="Q78" s="321"/>
      <c r="R78" s="321"/>
      <c r="S78" s="322"/>
      <c r="T78" s="331">
        <f>'Project Final Cost Tracking'!C77</f>
        <v>0</v>
      </c>
      <c r="U78" s="342">
        <f t="shared" si="28"/>
        <v>687728.63383637671</v>
      </c>
      <c r="V78" s="341">
        <f t="shared" si="21"/>
        <v>2.2444031896297707</v>
      </c>
      <c r="W78" s="342">
        <f t="shared" si="29"/>
        <v>1939395.7588363767</v>
      </c>
      <c r="X78" s="343">
        <f t="shared" si="22"/>
        <v>0</v>
      </c>
      <c r="Y78" s="239">
        <f t="shared" si="30"/>
        <v>278148.25</v>
      </c>
      <c r="Z78" s="255">
        <f t="shared" si="31"/>
        <v>5.0490306986319738E-3</v>
      </c>
      <c r="AA78" s="240">
        <f t="shared" si="23"/>
        <v>11055.423375538236</v>
      </c>
      <c r="AB78" s="238">
        <f>ROUND($C78*Allocations!$B$16,2)</f>
        <v>278234.78999999998</v>
      </c>
      <c r="AC78" s="241">
        <f>$C78*Allocations!$B$24</f>
        <v>0</v>
      </c>
      <c r="AD78" s="244">
        <f t="shared" si="24"/>
        <v>698784.05</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6">
        <v>742605.74853986653</v>
      </c>
      <c r="E79" s="344">
        <v>153070.4814807653</v>
      </c>
      <c r="F79" s="610">
        <v>703838.2819523582</v>
      </c>
      <c r="G79" s="344">
        <v>142383.96</v>
      </c>
      <c r="H79" s="433">
        <v>761415.99</v>
      </c>
      <c r="I79" s="392">
        <f>$C79*Allocations!$B$16</f>
        <v>727082.13605710992</v>
      </c>
      <c r="J79" s="388">
        <f t="shared" si="25"/>
        <v>3230396.5980301001</v>
      </c>
      <c r="K79" s="168">
        <f t="shared" si="26"/>
        <v>807599.15</v>
      </c>
      <c r="L79" s="828">
        <v>2217943.09</v>
      </c>
      <c r="M79" s="431">
        <f t="shared" si="27"/>
        <v>2945025.2260571099</v>
      </c>
      <c r="N79" s="306">
        <f t="shared" si="19"/>
        <v>693184</v>
      </c>
      <c r="O79" s="344">
        <f t="shared" si="20"/>
        <v>691184</v>
      </c>
      <c r="P79" s="345"/>
      <c r="Q79" s="346"/>
      <c r="R79" s="346"/>
      <c r="S79" s="347"/>
      <c r="T79" s="188">
        <f>'Project Final Cost Tracking'!C78</f>
        <v>0</v>
      </c>
      <c r="U79" s="349">
        <f t="shared" si="28"/>
        <v>2253841.2260571099</v>
      </c>
      <c r="V79" s="348">
        <f t="shared" si="21"/>
        <v>2.7907919740345317</v>
      </c>
      <c r="W79" s="349">
        <f t="shared" si="29"/>
        <v>5680213.1810571104</v>
      </c>
      <c r="X79" s="350">
        <f t="shared" si="22"/>
        <v>0</v>
      </c>
      <c r="Y79" s="306">
        <f t="shared" si="30"/>
        <v>761415.99</v>
      </c>
      <c r="Z79" s="351">
        <f t="shared" si="31"/>
        <v>1.3821452077944968E-2</v>
      </c>
      <c r="AA79" s="344">
        <f t="shared" si="23"/>
        <v>30263.631478373813</v>
      </c>
      <c r="AB79" s="233">
        <f>ROUND($C79*Allocations!$B$16,2)</f>
        <v>727082.14</v>
      </c>
      <c r="AC79" s="242">
        <f>$C79*Allocations!$B$24</f>
        <v>0</v>
      </c>
      <c r="AD79" s="246">
        <f t="shared" si="24"/>
        <v>2284104.86</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12">
        <v>495134.36901488231</v>
      </c>
      <c r="G80" s="240">
        <v>100163.9</v>
      </c>
      <c r="H80" s="432">
        <v>492288.09</v>
      </c>
      <c r="I80" s="391">
        <f>$C80*Allocations!$B$16</f>
        <v>480742.96744554094</v>
      </c>
      <c r="J80" s="237">
        <f t="shared" si="25"/>
        <v>2085550.7572577104</v>
      </c>
      <c r="K80" s="165">
        <f t="shared" si="26"/>
        <v>521387.69</v>
      </c>
      <c r="L80" s="827">
        <v>1144140.3</v>
      </c>
      <c r="M80" s="430">
        <f t="shared" si="27"/>
        <v>1624883.267445541</v>
      </c>
      <c r="N80" s="239">
        <f t="shared" si="19"/>
        <v>0</v>
      </c>
      <c r="O80" s="240">
        <f t="shared" si="20"/>
        <v>0</v>
      </c>
      <c r="P80" s="320"/>
      <c r="Q80" s="321"/>
      <c r="R80" s="321"/>
      <c r="S80" s="322"/>
      <c r="T80" s="331">
        <f>'Project Final Cost Tracking'!C79</f>
        <v>0</v>
      </c>
      <c r="U80" s="342">
        <f t="shared" si="28"/>
        <v>1624883.267445541</v>
      </c>
      <c r="V80" s="341">
        <f t="shared" si="21"/>
        <v>3.1164588244220743</v>
      </c>
      <c r="W80" s="342">
        <f t="shared" si="29"/>
        <v>3840179.6724455412</v>
      </c>
      <c r="X80" s="343">
        <f t="shared" si="22"/>
        <v>0</v>
      </c>
      <c r="Y80" s="239">
        <f t="shared" si="30"/>
        <v>492288.09</v>
      </c>
      <c r="Z80" s="255">
        <f t="shared" si="31"/>
        <v>8.9361614857576856E-3</v>
      </c>
      <c r="AA80" s="240">
        <f t="shared" si="23"/>
        <v>19566.735572433303</v>
      </c>
      <c r="AB80" s="238">
        <f>ROUND($C80*Allocations!$B$16,2)</f>
        <v>480742.97</v>
      </c>
      <c r="AC80" s="241">
        <f>$C80*Allocations!$B$24</f>
        <v>0</v>
      </c>
      <c r="AD80" s="244">
        <f t="shared" si="24"/>
        <v>1644450.01</v>
      </c>
      <c r="AE80" s="153"/>
      <c r="AF80" s="141"/>
      <c r="AG80" s="151"/>
      <c r="AH80" s="146"/>
      <c r="AI80" s="145"/>
      <c r="AJ80" s="146"/>
      <c r="AK80" s="151"/>
      <c r="AL80" s="146"/>
      <c r="AM80" s="185"/>
      <c r="AN80" s="186"/>
      <c r="AO80" s="145"/>
      <c r="AP80" s="146"/>
      <c r="AQ80" s="145"/>
      <c r="AR80" s="146"/>
      <c r="AS80" s="145"/>
      <c r="AT80" s="146"/>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12">
        <v>569579.75456708448</v>
      </c>
      <c r="G81" s="240">
        <v>115223.94</v>
      </c>
      <c r="H81" s="432">
        <v>568797.78</v>
      </c>
      <c r="I81" s="391">
        <f>$C81*Allocations!$B$16</f>
        <v>570895.35848345666</v>
      </c>
      <c r="J81" s="237">
        <f t="shared" si="25"/>
        <v>2470924.9830466253</v>
      </c>
      <c r="K81" s="165">
        <f t="shared" si="26"/>
        <v>617731.25</v>
      </c>
      <c r="L81" s="827">
        <v>756218.65</v>
      </c>
      <c r="M81" s="430">
        <f t="shared" si="27"/>
        <v>1327114.0084834567</v>
      </c>
      <c r="N81" s="239">
        <f t="shared" si="19"/>
        <v>0</v>
      </c>
      <c r="O81" s="240">
        <f t="shared" si="20"/>
        <v>0</v>
      </c>
      <c r="P81" s="320"/>
      <c r="Q81" s="321"/>
      <c r="R81" s="321"/>
      <c r="S81" s="322"/>
      <c r="T81" s="331">
        <f>'Project Final Cost Tracking'!C80</f>
        <v>0</v>
      </c>
      <c r="U81" s="342">
        <f t="shared" si="28"/>
        <v>1327114.0084834567</v>
      </c>
      <c r="V81" s="341">
        <f t="shared" si="21"/>
        <v>2.1483679326300176</v>
      </c>
      <c r="W81" s="342">
        <f t="shared" si="29"/>
        <v>3886704.0184834572</v>
      </c>
      <c r="X81" s="343">
        <f t="shared" si="22"/>
        <v>0</v>
      </c>
      <c r="Y81" s="239">
        <f t="shared" si="30"/>
        <v>568797.78</v>
      </c>
      <c r="Z81" s="255">
        <f t="shared" si="31"/>
        <v>1.032498839210283E-2</v>
      </c>
      <c r="AA81" s="240">
        <f t="shared" si="23"/>
        <v>22607.729054438612</v>
      </c>
      <c r="AB81" s="238">
        <f>ROUND($C81*Allocations!$B$16,2)</f>
        <v>570895.35999999999</v>
      </c>
      <c r="AC81" s="241">
        <f>$C81*Allocations!$B$24</f>
        <v>0</v>
      </c>
      <c r="AD81" s="244">
        <f t="shared" si="24"/>
        <v>1349721.74</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12">
        <v>714986.31006699894</v>
      </c>
      <c r="G82" s="240">
        <v>144639.16</v>
      </c>
      <c r="H82" s="432">
        <v>683284.09</v>
      </c>
      <c r="I82" s="391">
        <f>$C82*Allocations!$B$16</f>
        <v>677421.96006859303</v>
      </c>
      <c r="J82" s="237">
        <f t="shared" si="25"/>
        <v>3105643.3229360441</v>
      </c>
      <c r="K82" s="165">
        <f t="shared" si="26"/>
        <v>776410.83</v>
      </c>
      <c r="L82" s="827">
        <v>403401.59</v>
      </c>
      <c r="M82" s="430">
        <f t="shared" si="27"/>
        <v>1080823.5500685931</v>
      </c>
      <c r="N82" s="239">
        <f t="shared" si="19"/>
        <v>0</v>
      </c>
      <c r="O82" s="240">
        <f t="shared" si="20"/>
        <v>0</v>
      </c>
      <c r="P82" s="320"/>
      <c r="Q82" s="321"/>
      <c r="R82" s="321"/>
      <c r="S82" s="322"/>
      <c r="T82" s="331">
        <f>'Project Final Cost Tracking'!C81</f>
        <v>0</v>
      </c>
      <c r="U82" s="342">
        <f t="shared" si="28"/>
        <v>1080823.5500685931</v>
      </c>
      <c r="V82" s="341">
        <f t="shared" si="21"/>
        <v>1.3920768597065978</v>
      </c>
      <c r="W82" s="342">
        <f t="shared" si="29"/>
        <v>4155601.9550685929</v>
      </c>
      <c r="X82" s="343">
        <f t="shared" si="22"/>
        <v>0</v>
      </c>
      <c r="Y82" s="239">
        <f t="shared" si="30"/>
        <v>683284.09</v>
      </c>
      <c r="Z82" s="255">
        <f t="shared" si="31"/>
        <v>1.2403178327732828E-2</v>
      </c>
      <c r="AA82" s="240">
        <f t="shared" si="23"/>
        <v>27158.160803526076</v>
      </c>
      <c r="AB82" s="238">
        <f>ROUND($C82*Allocations!$B$16,2)</f>
        <v>677421.96</v>
      </c>
      <c r="AC82" s="241">
        <f>$C82*Allocations!$B$24</f>
        <v>0</v>
      </c>
      <c r="AD82" s="244">
        <f t="shared" si="24"/>
        <v>1107981.71</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12">
        <v>893939.8250660518</v>
      </c>
      <c r="G83" s="240">
        <v>180840.82</v>
      </c>
      <c r="H83" s="432">
        <v>930167.51</v>
      </c>
      <c r="I83" s="391">
        <f>$C83*Allocations!$B$16</f>
        <v>887585.44839039992</v>
      </c>
      <c r="J83" s="237">
        <f t="shared" si="25"/>
        <v>3927984.3013812285</v>
      </c>
      <c r="K83" s="165">
        <f t="shared" si="26"/>
        <v>981996.08</v>
      </c>
      <c r="L83" s="827">
        <v>201660.34</v>
      </c>
      <c r="M83" s="430">
        <f t="shared" si="27"/>
        <v>1089245.7883903999</v>
      </c>
      <c r="N83" s="239">
        <f t="shared" si="19"/>
        <v>0</v>
      </c>
      <c r="O83" s="240">
        <f t="shared" si="20"/>
        <v>0</v>
      </c>
      <c r="P83" s="320"/>
      <c r="Q83" s="321"/>
      <c r="R83" s="321"/>
      <c r="S83" s="322"/>
      <c r="T83" s="331">
        <f>'Project Final Cost Tracking'!C82</f>
        <v>0</v>
      </c>
      <c r="U83" s="342">
        <f t="shared" si="28"/>
        <v>1089245.7883903999</v>
      </c>
      <c r="V83" s="341">
        <f t="shared" si="21"/>
        <v>1.109216024966617</v>
      </c>
      <c r="W83" s="342">
        <f t="shared" si="29"/>
        <v>5274999.5833903998</v>
      </c>
      <c r="X83" s="343">
        <f t="shared" si="22"/>
        <v>0</v>
      </c>
      <c r="Y83" s="239">
        <f t="shared" si="30"/>
        <v>930167.51</v>
      </c>
      <c r="Z83" s="255">
        <f t="shared" si="31"/>
        <v>1.6884680428009394E-2</v>
      </c>
      <c r="AA83" s="240">
        <f t="shared" si="23"/>
        <v>36970.916168698517</v>
      </c>
      <c r="AB83" s="238">
        <f>ROUND($C83*Allocations!$B$16,2)</f>
        <v>887585.45</v>
      </c>
      <c r="AC83" s="241">
        <f>$C83*Allocations!$B$24</f>
        <v>0</v>
      </c>
      <c r="AD83" s="244">
        <f t="shared" si="24"/>
        <v>1126216.71</v>
      </c>
      <c r="AE83" s="153"/>
      <c r="AF83" s="141"/>
      <c r="AG83" s="151"/>
      <c r="AH83" s="146"/>
      <c r="AI83" s="145"/>
      <c r="AJ83" s="146"/>
      <c r="AK83" s="151"/>
      <c r="AL83" s="146"/>
      <c r="AM83" s="145"/>
      <c r="AN83" s="146"/>
      <c r="AO83" s="145"/>
      <c r="AP83" s="146"/>
      <c r="AQ83" s="145"/>
      <c r="AR83" s="146"/>
      <c r="AS83" s="145"/>
      <c r="AT83" s="146"/>
      <c r="AU83" s="145"/>
      <c r="AV83" s="146"/>
      <c r="AW83" s="148"/>
      <c r="AX83" s="141"/>
      <c r="AY83" s="145"/>
      <c r="AZ83" s="146"/>
      <c r="BA83" s="149"/>
      <c r="BB83" s="150"/>
      <c r="BC83" s="179"/>
      <c r="BD83" s="176"/>
    </row>
    <row r="84" spans="1:56" s="143" customFormat="1" ht="12.75">
      <c r="A84" s="98" t="s">
        <v>81</v>
      </c>
      <c r="B84" s="142">
        <v>80</v>
      </c>
      <c r="C84" s="248">
        <v>1.1987753263081418E-2</v>
      </c>
      <c r="D84" s="306">
        <v>707847.92906951602</v>
      </c>
      <c r="E84" s="344">
        <v>145905.98514874899</v>
      </c>
      <c r="F84" s="610">
        <v>691868.91270640038</v>
      </c>
      <c r="G84" s="344">
        <v>139962.6</v>
      </c>
      <c r="H84" s="433">
        <v>664781.84</v>
      </c>
      <c r="I84" s="392">
        <f>$C84*Allocations!$B$16</f>
        <v>692671.8276766371</v>
      </c>
      <c r="J84" s="388">
        <f t="shared" si="25"/>
        <v>3043039.0946013024</v>
      </c>
      <c r="K84" s="168">
        <f t="shared" si="26"/>
        <v>760759.77</v>
      </c>
      <c r="L84" s="828">
        <v>2039145.64</v>
      </c>
      <c r="M84" s="431">
        <f t="shared" si="27"/>
        <v>2731817.4676766368</v>
      </c>
      <c r="N84" s="306">
        <f t="shared" si="19"/>
        <v>0</v>
      </c>
      <c r="O84" s="344">
        <f t="shared" si="20"/>
        <v>0</v>
      </c>
      <c r="P84" s="345"/>
      <c r="Q84" s="346"/>
      <c r="R84" s="346"/>
      <c r="S84" s="347"/>
      <c r="T84" s="188">
        <f>'Project Final Cost Tracking'!C83</f>
        <v>0</v>
      </c>
      <c r="U84" s="349">
        <f t="shared" si="28"/>
        <v>2731817.4676766368</v>
      </c>
      <c r="V84" s="348">
        <f t="shared" si="21"/>
        <v>3.5909068478695145</v>
      </c>
      <c r="W84" s="349">
        <f t="shared" si="29"/>
        <v>5723335.747676637</v>
      </c>
      <c r="X84" s="350">
        <f t="shared" si="22"/>
        <v>0</v>
      </c>
      <c r="Y84" s="306">
        <f t="shared" si="30"/>
        <v>664781.84</v>
      </c>
      <c r="Z84" s="351">
        <f t="shared" si="31"/>
        <v>1.2067319920413122E-2</v>
      </c>
      <c r="AA84" s="344">
        <f t="shared" si="23"/>
        <v>26422.76086068965</v>
      </c>
      <c r="AB84" s="233">
        <f>ROUND($C84*Allocations!$B$16,2)</f>
        <v>692671.83</v>
      </c>
      <c r="AC84" s="242">
        <f>$C84*Allocations!$B$24</f>
        <v>0</v>
      </c>
      <c r="AD84" s="246">
        <f t="shared" si="24"/>
        <v>2758240.23</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12">
        <v>738130.50223227229</v>
      </c>
      <c r="G85" s="240">
        <v>149321.15</v>
      </c>
      <c r="H85" s="432">
        <v>787249.23</v>
      </c>
      <c r="I85" s="391">
        <f>$C85*Allocations!$B$16</f>
        <v>766982.87131775054</v>
      </c>
      <c r="J85" s="237">
        <f t="shared" si="25"/>
        <v>3238020.5267448481</v>
      </c>
      <c r="K85" s="165">
        <f t="shared" si="26"/>
        <v>809505.13</v>
      </c>
      <c r="L85" s="827">
        <v>1784810.83</v>
      </c>
      <c r="M85" s="430">
        <f t="shared" si="27"/>
        <v>2551793.7013177508</v>
      </c>
      <c r="N85" s="239">
        <f t="shared" si="19"/>
        <v>562681.78</v>
      </c>
      <c r="O85" s="240">
        <f t="shared" si="20"/>
        <v>562681.78</v>
      </c>
      <c r="P85" s="320"/>
      <c r="Q85" s="321"/>
      <c r="R85" s="321"/>
      <c r="S85" s="322"/>
      <c r="T85" s="331">
        <f>'Project Final Cost Tracking'!C84</f>
        <v>0</v>
      </c>
      <c r="U85" s="342">
        <f t="shared" si="28"/>
        <v>1989111.9213177508</v>
      </c>
      <c r="V85" s="341">
        <f t="shared" si="21"/>
        <v>2.4571949547963343</v>
      </c>
      <c r="W85" s="342">
        <f t="shared" si="29"/>
        <v>5531733.4563177507</v>
      </c>
      <c r="X85" s="343">
        <f t="shared" si="22"/>
        <v>0</v>
      </c>
      <c r="Y85" s="239">
        <f t="shared" si="30"/>
        <v>787249.23</v>
      </c>
      <c r="Z85" s="255">
        <f t="shared" si="31"/>
        <v>1.429038482084422E-2</v>
      </c>
      <c r="AA85" s="240">
        <f t="shared" si="23"/>
        <v>31290.412719535274</v>
      </c>
      <c r="AB85" s="238">
        <f>ROUND($C85*Allocations!$B$16,2)</f>
        <v>766982.87</v>
      </c>
      <c r="AC85" s="241">
        <f>$C85*Allocations!$B$24</f>
        <v>0</v>
      </c>
      <c r="AD85" s="244">
        <f t="shared" si="24"/>
        <v>2020402.33</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12">
        <v>562104.35243712063</v>
      </c>
      <c r="G86" s="240">
        <v>113711.69</v>
      </c>
      <c r="H86" s="432">
        <v>537163.15</v>
      </c>
      <c r="I86" s="391">
        <f>$C86*Allocations!$B$16</f>
        <v>595088.5575214054</v>
      </c>
      <c r="J86" s="237">
        <f t="shared" si="25"/>
        <v>2323196.2142599542</v>
      </c>
      <c r="K86" s="165">
        <f t="shared" si="26"/>
        <v>580799.05000000005</v>
      </c>
      <c r="L86" s="827">
        <v>908109.12</v>
      </c>
      <c r="M86" s="430">
        <f t="shared" si="27"/>
        <v>1503197.6775214053</v>
      </c>
      <c r="N86" s="239">
        <f t="shared" si="19"/>
        <v>0</v>
      </c>
      <c r="O86" s="240">
        <f t="shared" si="20"/>
        <v>0</v>
      </c>
      <c r="P86" s="320"/>
      <c r="Q86" s="321"/>
      <c r="R86" s="321"/>
      <c r="S86" s="322"/>
      <c r="T86" s="331">
        <f>'Project Final Cost Tracking'!C85</f>
        <v>0</v>
      </c>
      <c r="U86" s="342">
        <f t="shared" si="28"/>
        <v>1503197.6775214053</v>
      </c>
      <c r="V86" s="341">
        <f t="shared" si="21"/>
        <v>2.5881545045939816</v>
      </c>
      <c r="W86" s="342">
        <f t="shared" si="29"/>
        <v>3920431.8525214056</v>
      </c>
      <c r="X86" s="343">
        <f t="shared" si="22"/>
        <v>0</v>
      </c>
      <c r="Y86" s="239">
        <f t="shared" si="30"/>
        <v>537163.15</v>
      </c>
      <c r="Z86" s="255">
        <f t="shared" si="31"/>
        <v>9.7507470729147217E-3</v>
      </c>
      <c r="AA86" s="240">
        <f t="shared" si="23"/>
        <v>21350.362783112072</v>
      </c>
      <c r="AB86" s="238">
        <f>ROUND($C86*Allocations!$B$16,2)</f>
        <v>595088.56000000006</v>
      </c>
      <c r="AC86" s="241">
        <f>$C86*Allocations!$B$24</f>
        <v>0</v>
      </c>
      <c r="AD86" s="244">
        <f t="shared" si="24"/>
        <v>1524548.04</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12">
        <v>367014.23224611266</v>
      </c>
      <c r="G87" s="240">
        <v>74245.66</v>
      </c>
      <c r="H87" s="432">
        <v>357690.95</v>
      </c>
      <c r="I87" s="391">
        <f>$C87*Allocations!$B$16</f>
        <v>321281.61056967685</v>
      </c>
      <c r="J87" s="237">
        <f t="shared" si="25"/>
        <v>1592880.4077937829</v>
      </c>
      <c r="K87" s="165">
        <f t="shared" si="26"/>
        <v>398220.1</v>
      </c>
      <c r="L87" s="827">
        <v>175865.89</v>
      </c>
      <c r="M87" s="430">
        <f t="shared" si="27"/>
        <v>497147.50056967686</v>
      </c>
      <c r="N87" s="239">
        <f t="shared" si="19"/>
        <v>0</v>
      </c>
      <c r="O87" s="240">
        <f t="shared" si="20"/>
        <v>0</v>
      </c>
      <c r="P87" s="320"/>
      <c r="Q87" s="321"/>
      <c r="R87" s="321"/>
      <c r="S87" s="322"/>
      <c r="T87" s="331">
        <f>'Project Final Cost Tracking'!C86</f>
        <v>0</v>
      </c>
      <c r="U87" s="342">
        <f t="shared" si="28"/>
        <v>497147.50056967686</v>
      </c>
      <c r="V87" s="341">
        <f t="shared" si="21"/>
        <v>1.2484239257879672</v>
      </c>
      <c r="W87" s="342">
        <f t="shared" si="29"/>
        <v>2106756.7755696769</v>
      </c>
      <c r="X87" s="343">
        <f t="shared" si="22"/>
        <v>0</v>
      </c>
      <c r="Y87" s="239">
        <f t="shared" si="30"/>
        <v>357690.95</v>
      </c>
      <c r="Z87" s="255">
        <f t="shared" si="31"/>
        <v>6.4929137148007745E-3</v>
      </c>
      <c r="AA87" s="240">
        <f t="shared" si="23"/>
        <v>14216.968432655889</v>
      </c>
      <c r="AB87" s="238">
        <f>ROUND($C87*Allocations!$B$16,2)</f>
        <v>321281.61</v>
      </c>
      <c r="AC87" s="241">
        <f>$C87*Allocations!$B$24</f>
        <v>0</v>
      </c>
      <c r="AD87" s="244">
        <f t="shared" si="24"/>
        <v>511364.47</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12">
        <v>454737.8698691802</v>
      </c>
      <c r="G88" s="240">
        <v>91991.84</v>
      </c>
      <c r="H88" s="432">
        <v>432310.42</v>
      </c>
      <c r="I88" s="391">
        <f>$C88*Allocations!$B$16</f>
        <v>428262.33163778775</v>
      </c>
      <c r="J88" s="237">
        <f t="shared" si="25"/>
        <v>1915613.4078327292</v>
      </c>
      <c r="K88" s="165">
        <f t="shared" si="26"/>
        <v>478903.35</v>
      </c>
      <c r="L88" s="827">
        <v>-914530.99</v>
      </c>
      <c r="M88" s="430">
        <f t="shared" si="27"/>
        <v>-486268.65836221224</v>
      </c>
      <c r="N88" s="239">
        <f t="shared" si="19"/>
        <v>0</v>
      </c>
      <c r="O88" s="240">
        <f t="shared" si="20"/>
        <v>0</v>
      </c>
      <c r="P88" s="320"/>
      <c r="Q88" s="321"/>
      <c r="R88" s="321"/>
      <c r="S88" s="322"/>
      <c r="T88" s="331">
        <f>'Project Final Cost Tracking'!C87</f>
        <v>0</v>
      </c>
      <c r="U88" s="342">
        <f t="shared" si="28"/>
        <v>-486268.65836221224</v>
      </c>
      <c r="V88" s="341">
        <f t="shared" si="21"/>
        <v>-1.0153795298408588</v>
      </c>
      <c r="W88" s="342">
        <f t="shared" si="29"/>
        <v>1459128.2316377875</v>
      </c>
      <c r="X88" s="343">
        <f t="shared" si="22"/>
        <v>0</v>
      </c>
      <c r="Y88" s="239">
        <f t="shared" si="30"/>
        <v>432310.42</v>
      </c>
      <c r="Z88" s="255">
        <f t="shared" si="31"/>
        <v>7.8474287791437912E-3</v>
      </c>
      <c r="AA88" s="240">
        <f t="shared" si="23"/>
        <v>17182.832258541093</v>
      </c>
      <c r="AB88" s="238">
        <f>ROUND($C88*Allocations!$B$16,2)</f>
        <v>428262.33</v>
      </c>
      <c r="AC88" s="241">
        <f>$C88*Allocations!$B$24</f>
        <v>0</v>
      </c>
      <c r="AD88" s="244">
        <f t="shared" si="24"/>
        <v>-469085.83</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6">
        <v>524573.02430001402</v>
      </c>
      <c r="E89" s="344">
        <v>108128.23030161829</v>
      </c>
      <c r="F89" s="610">
        <v>495470.78772247321</v>
      </c>
      <c r="G89" s="344">
        <v>100231.96</v>
      </c>
      <c r="H89" s="433">
        <v>475581.81</v>
      </c>
      <c r="I89" s="392">
        <f>$C89*Allocations!$B$16</f>
        <v>455508.57948157075</v>
      </c>
      <c r="J89" s="388">
        <f t="shared" si="25"/>
        <v>2159494.3918056763</v>
      </c>
      <c r="K89" s="168">
        <f t="shared" si="26"/>
        <v>539873.6</v>
      </c>
      <c r="L89" s="828">
        <v>1437493.43</v>
      </c>
      <c r="M89" s="431">
        <f t="shared" si="27"/>
        <v>1893002.0094815707</v>
      </c>
      <c r="N89" s="306">
        <f t="shared" si="19"/>
        <v>1748209.3499999999</v>
      </c>
      <c r="O89" s="344">
        <f t="shared" si="20"/>
        <v>1748209.3499999999</v>
      </c>
      <c r="P89" s="345"/>
      <c r="Q89" s="346"/>
      <c r="R89" s="346"/>
      <c r="S89" s="347"/>
      <c r="T89" s="188">
        <f>'Project Final Cost Tracking'!C88</f>
        <v>0</v>
      </c>
      <c r="U89" s="349">
        <f t="shared" si="28"/>
        <v>144792.65948157082</v>
      </c>
      <c r="V89" s="348">
        <f t="shared" si="21"/>
        <v>0.26819733263780787</v>
      </c>
      <c r="W89" s="349">
        <f t="shared" si="29"/>
        <v>2284910.8044815706</v>
      </c>
      <c r="X89" s="350">
        <f t="shared" si="22"/>
        <v>0</v>
      </c>
      <c r="Y89" s="306">
        <f t="shared" si="30"/>
        <v>475581.81</v>
      </c>
      <c r="Z89" s="351">
        <f t="shared" si="31"/>
        <v>8.6329040660905066E-3</v>
      </c>
      <c r="AA89" s="344">
        <f t="shared" si="23"/>
        <v>18902.71917675119</v>
      </c>
      <c r="AB89" s="233">
        <f>ROUND($C89*Allocations!$B$16,2)</f>
        <v>455508.58</v>
      </c>
      <c r="AC89" s="242">
        <f>$C89*Allocations!$B$24</f>
        <v>0</v>
      </c>
      <c r="AD89" s="246">
        <f t="shared" si="24"/>
        <v>163695.38</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12">
        <v>1633846.3293073233</v>
      </c>
      <c r="G90" s="240">
        <v>330521.24</v>
      </c>
      <c r="H90" s="432">
        <v>1688969.52</v>
      </c>
      <c r="I90" s="391">
        <f>$C90*Allocations!$B$16</f>
        <v>1647402.1625851404</v>
      </c>
      <c r="J90" s="237">
        <f t="shared" si="25"/>
        <v>7211268.503985743</v>
      </c>
      <c r="K90" s="165">
        <f t="shared" si="26"/>
        <v>1802817.13</v>
      </c>
      <c r="L90" s="827">
        <v>3253505.34</v>
      </c>
      <c r="M90" s="430">
        <f t="shared" si="27"/>
        <v>4900907.5025851401</v>
      </c>
      <c r="N90" s="239">
        <f t="shared" si="19"/>
        <v>1191161.2</v>
      </c>
      <c r="O90" s="240">
        <f t="shared" si="20"/>
        <v>1191161.2</v>
      </c>
      <c r="P90" s="320"/>
      <c r="Q90" s="321"/>
      <c r="R90" s="321"/>
      <c r="S90" s="322"/>
      <c r="T90" s="331">
        <f>'Project Final Cost Tracking'!C89</f>
        <v>0</v>
      </c>
      <c r="U90" s="342">
        <f t="shared" si="28"/>
        <v>3709746.3025851399</v>
      </c>
      <c r="V90" s="341">
        <f t="shared" si="21"/>
        <v>2.0577496412989706</v>
      </c>
      <c r="W90" s="342">
        <f t="shared" si="29"/>
        <v>11310109.14258514</v>
      </c>
      <c r="X90" s="343">
        <f t="shared" si="22"/>
        <v>0</v>
      </c>
      <c r="Y90" s="239">
        <f t="shared" si="30"/>
        <v>1688969.52</v>
      </c>
      <c r="Z90" s="255">
        <f t="shared" si="31"/>
        <v>3.0658682754731371E-2</v>
      </c>
      <c r="AA90" s="240">
        <f t="shared" si="23"/>
        <v>67130.651053816066</v>
      </c>
      <c r="AB90" s="238">
        <f>ROUND($C90*Allocations!$B$16,2)</f>
        <v>1647402.16</v>
      </c>
      <c r="AC90" s="241">
        <f>$C90*Allocations!$B$24</f>
        <v>0</v>
      </c>
      <c r="AD90" s="244">
        <f t="shared" si="24"/>
        <v>3776876.95</v>
      </c>
      <c r="AE90" s="153"/>
      <c r="AF90" s="141"/>
      <c r="AG90" s="151"/>
      <c r="AH90" s="146"/>
      <c r="AI90" s="145"/>
      <c r="AJ90" s="146"/>
      <c r="AK90" s="846">
        <f>Tama!C16+Tama!C17+Tama!C18+Tama!C19</f>
        <v>1191161.2</v>
      </c>
      <c r="AL90" s="847">
        <f>Tama!D16+Tama!D17+Tama!D18+Tama!D19</f>
        <v>1191161.2</v>
      </c>
      <c r="AM90" s="145"/>
      <c r="AN90" s="146"/>
      <c r="AO90" s="145"/>
      <c r="AP90" s="146"/>
      <c r="AQ90" s="145"/>
      <c r="AR90" s="146"/>
      <c r="AS90" s="145"/>
      <c r="AT90" s="146"/>
      <c r="AU90" s="145"/>
      <c r="AV90" s="146"/>
      <c r="AW90" s="148"/>
      <c r="AX90" s="141"/>
      <c r="AY90" s="145"/>
      <c r="AZ90" s="146"/>
      <c r="BA90" s="173"/>
      <c r="BB90" s="150"/>
      <c r="BC90" s="179"/>
      <c r="BD90" s="848" t="s">
        <v>858</v>
      </c>
    </row>
    <row r="91" spans="1:56" s="30" customFormat="1" ht="12.75">
      <c r="A91" s="97" t="s">
        <v>88</v>
      </c>
      <c r="B91" s="47">
        <v>87</v>
      </c>
      <c r="C91" s="247">
        <v>9.91887197666288E-3</v>
      </c>
      <c r="D91" s="239">
        <v>503475.49721542199</v>
      </c>
      <c r="E91" s="240">
        <v>103779.4777700876</v>
      </c>
      <c r="F91" s="612">
        <v>562655.19943986449</v>
      </c>
      <c r="G91" s="240">
        <v>113823.13</v>
      </c>
      <c r="H91" s="432">
        <v>565355.38</v>
      </c>
      <c r="I91" s="391">
        <f>$C91*Allocations!$B$16</f>
        <v>573128.51122192736</v>
      </c>
      <c r="J91" s="237">
        <f t="shared" si="25"/>
        <v>2422217.1956473012</v>
      </c>
      <c r="K91" s="165">
        <f t="shared" si="26"/>
        <v>605554.30000000005</v>
      </c>
      <c r="L91" s="827">
        <v>2444135.5</v>
      </c>
      <c r="M91" s="430">
        <f t="shared" si="27"/>
        <v>3017264.0112219276</v>
      </c>
      <c r="N91" s="239">
        <f t="shared" si="19"/>
        <v>0</v>
      </c>
      <c r="O91" s="240">
        <f t="shared" si="20"/>
        <v>0</v>
      </c>
      <c r="P91" s="320"/>
      <c r="Q91" s="321"/>
      <c r="R91" s="321"/>
      <c r="S91" s="322"/>
      <c r="T91" s="331">
        <f>'Project Final Cost Tracking'!C90</f>
        <v>0</v>
      </c>
      <c r="U91" s="342">
        <f t="shared" si="28"/>
        <v>3017264.0112219276</v>
      </c>
      <c r="V91" s="341">
        <f t="shared" si="21"/>
        <v>4.9826481476920028</v>
      </c>
      <c r="W91" s="342">
        <f t="shared" si="29"/>
        <v>5561363.2212219276</v>
      </c>
      <c r="X91" s="343">
        <f t="shared" si="22"/>
        <v>595046.81557462644</v>
      </c>
      <c r="Y91" s="239">
        <f t="shared" si="30"/>
        <v>0</v>
      </c>
      <c r="Z91" s="255">
        <f t="shared" si="31"/>
        <v>0</v>
      </c>
      <c r="AA91" s="240">
        <f t="shared" si="23"/>
        <v>0</v>
      </c>
      <c r="AB91" s="238">
        <f>ROUND($C91*Allocations!$B$16,2)</f>
        <v>573128.51</v>
      </c>
      <c r="AC91" s="241">
        <f>$C91*Allocations!$B$24</f>
        <v>0</v>
      </c>
      <c r="AD91" s="244">
        <f t="shared" si="24"/>
        <v>2422217.19</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12">
        <v>324448.86688982393</v>
      </c>
      <c r="G92" s="240">
        <v>65634.84</v>
      </c>
      <c r="H92" s="432">
        <v>332059.14</v>
      </c>
      <c r="I92" s="391">
        <f>$C92*Allocations!$B$16</f>
        <v>360035.33946493757</v>
      </c>
      <c r="J92" s="237">
        <f t="shared" si="25"/>
        <v>1481422.1064008123</v>
      </c>
      <c r="K92" s="165">
        <f t="shared" si="26"/>
        <v>370355.53</v>
      </c>
      <c r="L92" s="827">
        <v>1457656.27</v>
      </c>
      <c r="M92" s="430">
        <f t="shared" si="27"/>
        <v>1817691.6094649376</v>
      </c>
      <c r="N92" s="239">
        <f t="shared" si="19"/>
        <v>0</v>
      </c>
      <c r="O92" s="240">
        <f t="shared" si="20"/>
        <v>0</v>
      </c>
      <c r="P92" s="320"/>
      <c r="Q92" s="321"/>
      <c r="R92" s="321"/>
      <c r="S92" s="322"/>
      <c r="T92" s="331">
        <f>'Project Final Cost Tracking'!C91</f>
        <v>0</v>
      </c>
      <c r="U92" s="342">
        <f t="shared" si="28"/>
        <v>1817691.6094649376</v>
      </c>
      <c r="V92" s="341">
        <f t="shared" si="21"/>
        <v>4.9079640027649578</v>
      </c>
      <c r="W92" s="342">
        <f t="shared" si="29"/>
        <v>3311957.7394649377</v>
      </c>
      <c r="X92" s="343">
        <f t="shared" si="22"/>
        <v>336269.50306412531</v>
      </c>
      <c r="Y92" s="239">
        <f t="shared" si="30"/>
        <v>0</v>
      </c>
      <c r="Z92" s="255">
        <f t="shared" si="31"/>
        <v>0</v>
      </c>
      <c r="AA92" s="240">
        <f t="shared" si="23"/>
        <v>0</v>
      </c>
      <c r="AB92" s="238">
        <f>ROUND($C92*Allocations!$B$16,2)</f>
        <v>360035.34</v>
      </c>
      <c r="AC92" s="241">
        <f>$C92*Allocations!$B$24</f>
        <v>0</v>
      </c>
      <c r="AD92" s="244">
        <f t="shared" si="24"/>
        <v>1481422.11</v>
      </c>
      <c r="AE92" s="153"/>
      <c r="AF92" s="141"/>
      <c r="AG92" s="151"/>
      <c r="AH92" s="146"/>
      <c r="AI92" s="145"/>
      <c r="AJ92" s="146"/>
      <c r="AK92" s="151"/>
      <c r="AL92" s="146"/>
      <c r="AM92" s="145"/>
      <c r="AN92" s="146"/>
      <c r="AO92" s="145"/>
      <c r="AP92" s="146"/>
      <c r="AQ92" s="145"/>
      <c r="AR92" s="146"/>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12">
        <v>371828.3520515007</v>
      </c>
      <c r="G93" s="240">
        <v>75219.539999999994</v>
      </c>
      <c r="H93" s="432">
        <v>348309.35</v>
      </c>
      <c r="I93" s="391">
        <f>$C93*Allocations!$B$16</f>
        <v>555088.02432133385</v>
      </c>
      <c r="J93" s="237">
        <f t="shared" si="25"/>
        <v>1853820.6999495472</v>
      </c>
      <c r="K93" s="165">
        <f t="shared" si="26"/>
        <v>463455.17</v>
      </c>
      <c r="L93" s="827">
        <v>1587755.43</v>
      </c>
      <c r="M93" s="430">
        <f t="shared" si="27"/>
        <v>2142843.4543213337</v>
      </c>
      <c r="N93" s="239">
        <f t="shared" si="19"/>
        <v>0</v>
      </c>
      <c r="O93" s="240">
        <f t="shared" si="20"/>
        <v>0</v>
      </c>
      <c r="P93" s="320"/>
      <c r="Q93" s="321"/>
      <c r="R93" s="321"/>
      <c r="S93" s="322"/>
      <c r="T93" s="331">
        <f>'Project Final Cost Tracking'!C92</f>
        <v>0</v>
      </c>
      <c r="U93" s="342">
        <f t="shared" si="28"/>
        <v>2142843.4543213337</v>
      </c>
      <c r="V93" s="341">
        <f t="shared" si="21"/>
        <v>4.6236261736412043</v>
      </c>
      <c r="W93" s="342">
        <f t="shared" si="29"/>
        <v>3710235.5293213334</v>
      </c>
      <c r="X93" s="343">
        <f t="shared" si="22"/>
        <v>289022.75437178649</v>
      </c>
      <c r="Y93" s="239">
        <f t="shared" si="30"/>
        <v>0</v>
      </c>
      <c r="Z93" s="255">
        <f t="shared" si="31"/>
        <v>0</v>
      </c>
      <c r="AA93" s="240">
        <f t="shared" si="23"/>
        <v>0</v>
      </c>
      <c r="AB93" s="238">
        <f>ROUND($C93*Allocations!$B$16,2)</f>
        <v>555088.02</v>
      </c>
      <c r="AC93" s="241">
        <f>$C93*Allocations!$B$24</f>
        <v>0</v>
      </c>
      <c r="AD93" s="244">
        <f t="shared" si="24"/>
        <v>1853820.7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6">
        <v>774702.84690773673</v>
      </c>
      <c r="E94" s="344">
        <v>159686.53355276404</v>
      </c>
      <c r="F94" s="610">
        <v>460237.2907274068</v>
      </c>
      <c r="G94" s="344">
        <v>93104.35</v>
      </c>
      <c r="H94" s="433">
        <v>670286.68999999994</v>
      </c>
      <c r="I94" s="392">
        <f>$C94*Allocations!$B$16</f>
        <v>670853.18898740481</v>
      </c>
      <c r="J94" s="388">
        <f t="shared" si="25"/>
        <v>2828870.9001753125</v>
      </c>
      <c r="K94" s="168">
        <f t="shared" si="26"/>
        <v>707217.73</v>
      </c>
      <c r="L94" s="828">
        <v>110954.16</v>
      </c>
      <c r="M94" s="431">
        <f t="shared" si="27"/>
        <v>781807.34898740484</v>
      </c>
      <c r="N94" s="306">
        <f t="shared" si="19"/>
        <v>0</v>
      </c>
      <c r="O94" s="344">
        <f t="shared" si="20"/>
        <v>0</v>
      </c>
      <c r="P94" s="345"/>
      <c r="Q94" s="346"/>
      <c r="R94" s="346"/>
      <c r="S94" s="347"/>
      <c r="T94" s="188">
        <f>'Project Final Cost Tracking'!C93</f>
        <v>0</v>
      </c>
      <c r="U94" s="349">
        <f t="shared" si="28"/>
        <v>781807.34898740484</v>
      </c>
      <c r="V94" s="348">
        <f t="shared" si="21"/>
        <v>1.1054691021213578</v>
      </c>
      <c r="W94" s="349">
        <f t="shared" si="29"/>
        <v>3798097.4539874042</v>
      </c>
      <c r="X94" s="350">
        <f t="shared" si="22"/>
        <v>0</v>
      </c>
      <c r="Y94" s="306">
        <f t="shared" si="30"/>
        <v>670286.68999999994</v>
      </c>
      <c r="Z94" s="351">
        <f t="shared" si="31"/>
        <v>1.2167245613425262E-2</v>
      </c>
      <c r="AA94" s="344">
        <f t="shared" si="23"/>
        <v>26641.559459526172</v>
      </c>
      <c r="AB94" s="233">
        <f>ROUND($C94*Allocations!$B$16,2)</f>
        <v>670853.18999999994</v>
      </c>
      <c r="AC94" s="242">
        <f>$C94*Allocations!$B$24</f>
        <v>0</v>
      </c>
      <c r="AD94" s="246">
        <f t="shared" si="24"/>
        <v>808448.91</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7">
        <v>851938.9426966121</v>
      </c>
      <c r="E95" s="240">
        <v>175606.91444577969</v>
      </c>
      <c r="F95" s="612">
        <v>841674.07457995531</v>
      </c>
      <c r="G95" s="240">
        <v>170267.64</v>
      </c>
      <c r="H95" s="432">
        <v>878426.21</v>
      </c>
      <c r="I95" s="391">
        <f>$C95*Allocations!$B$16</f>
        <v>859592.18580427067</v>
      </c>
      <c r="J95" s="237">
        <f t="shared" si="25"/>
        <v>3777505.9675266179</v>
      </c>
      <c r="K95" s="165">
        <f t="shared" si="26"/>
        <v>944376.49</v>
      </c>
      <c r="L95" s="827">
        <v>-493084.66</v>
      </c>
      <c r="M95" s="430">
        <f t="shared" si="27"/>
        <v>366507.5258042707</v>
      </c>
      <c r="N95" s="239">
        <f t="shared" si="19"/>
        <v>0</v>
      </c>
      <c r="O95" s="240">
        <f t="shared" si="20"/>
        <v>0</v>
      </c>
      <c r="P95" s="320"/>
      <c r="Q95" s="321"/>
      <c r="R95" s="321"/>
      <c r="S95" s="322"/>
      <c r="T95" s="331">
        <f>'Project Final Cost Tracking'!C94</f>
        <v>0</v>
      </c>
      <c r="U95" s="342">
        <f t="shared" si="28"/>
        <v>366507.5258042707</v>
      </c>
      <c r="V95" s="341">
        <f t="shared" si="21"/>
        <v>0.38809471612774976</v>
      </c>
      <c r="W95" s="342">
        <f t="shared" si="29"/>
        <v>4319425.4708042704</v>
      </c>
      <c r="X95" s="343">
        <f t="shared" si="22"/>
        <v>0</v>
      </c>
      <c r="Y95" s="239">
        <f t="shared" si="30"/>
        <v>878426.21</v>
      </c>
      <c r="Z95" s="255">
        <f t="shared" si="31"/>
        <v>1.5945456787065663E-2</v>
      </c>
      <c r="AA95" s="240">
        <f t="shared" si="23"/>
        <v>34914.379852181199</v>
      </c>
      <c r="AB95" s="238">
        <f>ROUND($C95*Allocations!$B$16,2)</f>
        <v>859592.19</v>
      </c>
      <c r="AC95" s="241">
        <f>$C95*Allocations!$B$24</f>
        <v>0</v>
      </c>
      <c r="AD95" s="244">
        <f t="shared" si="24"/>
        <v>401421.91</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12">
        <v>445469.13749889022</v>
      </c>
      <c r="G96" s="240">
        <v>90116.81</v>
      </c>
      <c r="H96" s="432">
        <v>407872.32</v>
      </c>
      <c r="I96" s="391">
        <f>$C96*Allocations!$B$16</f>
        <v>467226.18233093934</v>
      </c>
      <c r="J96" s="237">
        <f t="shared" si="25"/>
        <v>1948549.0754891625</v>
      </c>
      <c r="K96" s="165">
        <f t="shared" si="26"/>
        <v>487137.27</v>
      </c>
      <c r="L96" s="827">
        <v>1217588.28</v>
      </c>
      <c r="M96" s="430">
        <f t="shared" si="27"/>
        <v>1684814.4623309392</v>
      </c>
      <c r="N96" s="239">
        <f t="shared" si="19"/>
        <v>0</v>
      </c>
      <c r="O96" s="240">
        <f t="shared" si="20"/>
        <v>0</v>
      </c>
      <c r="P96" s="320"/>
      <c r="Q96" s="321"/>
      <c r="R96" s="321"/>
      <c r="S96" s="322"/>
      <c r="T96" s="331">
        <f>'Project Final Cost Tracking'!C95</f>
        <v>0</v>
      </c>
      <c r="U96" s="342">
        <f t="shared" si="28"/>
        <v>1684814.4623309392</v>
      </c>
      <c r="V96" s="341">
        <f t="shared" si="21"/>
        <v>3.4586030798483951</v>
      </c>
      <c r="W96" s="342">
        <f t="shared" si="29"/>
        <v>3520239.9023309392</v>
      </c>
      <c r="X96" s="343">
        <f t="shared" si="22"/>
        <v>0</v>
      </c>
      <c r="Y96" s="239">
        <f t="shared" si="30"/>
        <v>407872.32</v>
      </c>
      <c r="Z96" s="255">
        <f t="shared" si="31"/>
        <v>7.4038210371708043E-3</v>
      </c>
      <c r="AA96" s="240">
        <f t="shared" si="23"/>
        <v>16211.502969236772</v>
      </c>
      <c r="AB96" s="238">
        <f>ROUND($C96*Allocations!$B$16,2)</f>
        <v>467226.18</v>
      </c>
      <c r="AC96" s="241">
        <f>$C96*Allocations!$B$24</f>
        <v>0</v>
      </c>
      <c r="AD96" s="244">
        <f t="shared" si="24"/>
        <v>1701025.96</v>
      </c>
      <c r="AE96" s="153"/>
      <c r="AF96" s="141"/>
      <c r="AG96" s="151"/>
      <c r="AH96" s="146"/>
      <c r="AI96" s="145"/>
      <c r="AJ96" s="146"/>
      <c r="AK96" s="151"/>
      <c r="AL96" s="146"/>
      <c r="AM96" s="145"/>
      <c r="AN96" s="146"/>
      <c r="AO96" s="145"/>
      <c r="AP96" s="146"/>
      <c r="AQ96" s="145"/>
      <c r="AR96" s="146"/>
      <c r="AS96" s="145"/>
      <c r="AT96" s="146"/>
      <c r="AU96" s="145"/>
      <c r="AV96" s="146"/>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12">
        <v>298025.94596490619</v>
      </c>
      <c r="G97" s="240">
        <v>60289.58</v>
      </c>
      <c r="H97" s="432">
        <v>280653.37</v>
      </c>
      <c r="I97" s="391">
        <f>$C97*Allocations!$B$16</f>
        <v>290115.00938749529</v>
      </c>
      <c r="J97" s="237">
        <f t="shared" si="25"/>
        <v>1327941.6028703325</v>
      </c>
      <c r="K97" s="165">
        <f t="shared" si="26"/>
        <v>331985.40000000002</v>
      </c>
      <c r="L97" s="827">
        <v>465668.22</v>
      </c>
      <c r="M97" s="430">
        <f t="shared" si="27"/>
        <v>755783.2293874952</v>
      </c>
      <c r="N97" s="239">
        <f t="shared" si="19"/>
        <v>626193.72</v>
      </c>
      <c r="O97" s="240">
        <f t="shared" si="20"/>
        <v>626193.72</v>
      </c>
      <c r="P97" s="320"/>
      <c r="Q97" s="321"/>
      <c r="R97" s="321"/>
      <c r="S97" s="322"/>
      <c r="T97" s="331">
        <f>'Project Final Cost Tracking'!C96</f>
        <v>0</v>
      </c>
      <c r="U97" s="342">
        <f t="shared" si="28"/>
        <v>129589.50938749523</v>
      </c>
      <c r="V97" s="341">
        <f t="shared" si="21"/>
        <v>0.39034701341533456</v>
      </c>
      <c r="W97" s="342">
        <f t="shared" si="29"/>
        <v>1392529.6743874953</v>
      </c>
      <c r="X97" s="343">
        <f t="shared" si="22"/>
        <v>0</v>
      </c>
      <c r="Y97" s="239">
        <f t="shared" si="30"/>
        <v>280653.37</v>
      </c>
      <c r="Z97" s="255">
        <f t="shared" si="31"/>
        <v>5.0945043903908001E-3</v>
      </c>
      <c r="AA97" s="240">
        <f t="shared" si="23"/>
        <v>11154.993163255858</v>
      </c>
      <c r="AB97" s="238">
        <f>ROUND($C97*Allocations!$B$16,2)</f>
        <v>290115.01</v>
      </c>
      <c r="AC97" s="241">
        <f>$C97*Allocations!$B$24</f>
        <v>0</v>
      </c>
      <c r="AD97" s="244">
        <f t="shared" si="24"/>
        <v>140744.5</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12">
        <v>803143.57086850109</v>
      </c>
      <c r="G98" s="240">
        <v>162473.06</v>
      </c>
      <c r="H98" s="432">
        <v>812836.44</v>
      </c>
      <c r="I98" s="391">
        <f>$C98*Allocations!$B$16</f>
        <v>754552.36950186186</v>
      </c>
      <c r="J98" s="237">
        <f t="shared" si="25"/>
        <v>3422999.0543364082</v>
      </c>
      <c r="K98" s="165">
        <f t="shared" si="26"/>
        <v>855749.76</v>
      </c>
      <c r="L98" s="827">
        <v>981670.40000000002</v>
      </c>
      <c r="M98" s="430">
        <f t="shared" si="27"/>
        <v>1736222.7695018619</v>
      </c>
      <c r="N98" s="239">
        <f t="shared" si="19"/>
        <v>0</v>
      </c>
      <c r="O98" s="240">
        <f t="shared" si="20"/>
        <v>0</v>
      </c>
      <c r="P98" s="320"/>
      <c r="Q98" s="321"/>
      <c r="R98" s="321"/>
      <c r="S98" s="322"/>
      <c r="T98" s="331">
        <f>'Project Final Cost Tracking'!C97</f>
        <v>0</v>
      </c>
      <c r="U98" s="342">
        <f t="shared" si="28"/>
        <v>1736222.7695018619</v>
      </c>
      <c r="V98" s="341">
        <f t="shared" si="21"/>
        <v>2.0288907466382016</v>
      </c>
      <c r="W98" s="342">
        <f t="shared" si="29"/>
        <v>5393986.7495018616</v>
      </c>
      <c r="X98" s="343">
        <f t="shared" si="22"/>
        <v>0</v>
      </c>
      <c r="Y98" s="239">
        <f t="shared" si="30"/>
        <v>812836.44</v>
      </c>
      <c r="Z98" s="255">
        <f t="shared" si="31"/>
        <v>1.4754851553179739E-2</v>
      </c>
      <c r="AA98" s="240">
        <f t="shared" si="23"/>
        <v>32307.415125801734</v>
      </c>
      <c r="AB98" s="238">
        <f>ROUND($C98*Allocations!$B$16,2)</f>
        <v>754552.37</v>
      </c>
      <c r="AC98" s="241">
        <f>$C98*Allocations!$B$24</f>
        <v>0</v>
      </c>
      <c r="AD98" s="244">
        <f t="shared" si="24"/>
        <v>1768530.19</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6">
        <v>182056.20887171524</v>
      </c>
      <c r="E99" s="344">
        <v>37526.549724870827</v>
      </c>
      <c r="F99" s="610">
        <v>193488.29123723489</v>
      </c>
      <c r="G99" s="344">
        <v>39141.99</v>
      </c>
      <c r="H99" s="433">
        <v>158740.45000000001</v>
      </c>
      <c r="I99" s="392">
        <f>$C99*Allocations!$B$16</f>
        <v>183931.10641046395</v>
      </c>
      <c r="J99" s="388">
        <f t="shared" si="25"/>
        <v>794884.59624428488</v>
      </c>
      <c r="K99" s="168">
        <f t="shared" si="26"/>
        <v>198721.15</v>
      </c>
      <c r="L99" s="828">
        <v>-163989.44</v>
      </c>
      <c r="M99" s="431">
        <f t="shared" si="27"/>
        <v>19941.666410463949</v>
      </c>
      <c r="N99" s="306">
        <f t="shared" si="19"/>
        <v>0</v>
      </c>
      <c r="O99" s="344">
        <f t="shared" si="20"/>
        <v>0</v>
      </c>
      <c r="P99" s="345"/>
      <c r="Q99" s="346"/>
      <c r="R99" s="346"/>
      <c r="S99" s="347"/>
      <c r="T99" s="188">
        <f>'Project Final Cost Tracking'!C98</f>
        <v>0</v>
      </c>
      <c r="U99" s="349">
        <f t="shared" si="28"/>
        <v>19941.666410463949</v>
      </c>
      <c r="V99" s="348">
        <f t="shared" si="21"/>
        <v>0.10034999500789901</v>
      </c>
      <c r="W99" s="349">
        <f t="shared" si="29"/>
        <v>734273.691410464</v>
      </c>
      <c r="X99" s="350">
        <f t="shared" si="22"/>
        <v>0</v>
      </c>
      <c r="Y99" s="306">
        <f t="shared" si="30"/>
        <v>158740.45000000001</v>
      </c>
      <c r="Z99" s="351">
        <f t="shared" si="31"/>
        <v>2.8815043961795696E-3</v>
      </c>
      <c r="AA99" s="344">
        <f t="shared" si="23"/>
        <v>6309.3795541530772</v>
      </c>
      <c r="AB99" s="233">
        <f>ROUND($C99*Allocations!$B$16,2)</f>
        <v>183931.11</v>
      </c>
      <c r="AC99" s="242">
        <f>$C99*Allocations!$B$24</f>
        <v>0</v>
      </c>
      <c r="AD99" s="246">
        <f t="shared" si="24"/>
        <v>26251.05</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12">
        <v>717900.32219814032</v>
      </c>
      <c r="G100" s="240">
        <v>145228.66</v>
      </c>
      <c r="H100" s="432">
        <v>642020.15</v>
      </c>
      <c r="I100" s="391">
        <f>$C100*Allocations!$B$16</f>
        <v>639999.48749045667</v>
      </c>
      <c r="J100" s="237">
        <f t="shared" si="25"/>
        <v>3078586.4466986484</v>
      </c>
      <c r="K100" s="165">
        <f t="shared" si="26"/>
        <v>769646.61</v>
      </c>
      <c r="L100" s="827">
        <v>-1415068.43</v>
      </c>
      <c r="M100" s="430">
        <f t="shared" si="27"/>
        <v>-775068.94250954327</v>
      </c>
      <c r="N100" s="239">
        <f t="shared" si="19"/>
        <v>0</v>
      </c>
      <c r="O100" s="240">
        <f t="shared" si="20"/>
        <v>0</v>
      </c>
      <c r="P100" s="320"/>
      <c r="Q100" s="321"/>
      <c r="R100" s="321"/>
      <c r="S100" s="322"/>
      <c r="T100" s="331">
        <f>'Project Final Cost Tracking'!C99</f>
        <v>0</v>
      </c>
      <c r="U100" s="342">
        <f t="shared" si="28"/>
        <v>-775068.94250954327</v>
      </c>
      <c r="V100" s="341">
        <f t="shared" si="21"/>
        <v>-1.0070452236638101</v>
      </c>
      <c r="W100" s="342">
        <f t="shared" si="29"/>
        <v>2114021.7324904571</v>
      </c>
      <c r="X100" s="343">
        <f t="shared" si="22"/>
        <v>0</v>
      </c>
      <c r="Y100" s="239">
        <f t="shared" si="30"/>
        <v>642020.15</v>
      </c>
      <c r="Z100" s="255">
        <f t="shared" si="31"/>
        <v>1.165414287701003E-2</v>
      </c>
      <c r="AA100" s="240">
        <f t="shared" si="23"/>
        <v>25518.063025298794</v>
      </c>
      <c r="AB100" s="238">
        <f>ROUND($C100*Allocations!$B$16,2)</f>
        <v>639999.49</v>
      </c>
      <c r="AC100" s="241">
        <f>$C100*Allocations!$B$24</f>
        <v>0</v>
      </c>
      <c r="AD100" s="244">
        <f t="shared" si="24"/>
        <v>-749550.88</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12">
        <v>1075096.063453597</v>
      </c>
      <c r="G101" s="240">
        <v>217488.07</v>
      </c>
      <c r="H101" s="432">
        <v>1171343.8999999999</v>
      </c>
      <c r="I101" s="391">
        <f>$C101*Allocations!$B$16</f>
        <v>1165356.2734265884</v>
      </c>
      <c r="J101" s="237">
        <f t="shared" si="25"/>
        <v>4869805.0938286409</v>
      </c>
      <c r="K101" s="165">
        <f t="shared" si="26"/>
        <v>1217451.27</v>
      </c>
      <c r="L101" s="827">
        <v>865119.16</v>
      </c>
      <c r="M101" s="430">
        <f t="shared" si="27"/>
        <v>2030475.4334265883</v>
      </c>
      <c r="N101" s="239">
        <f t="shared" si="19"/>
        <v>3018901.9</v>
      </c>
      <c r="O101" s="240">
        <f t="shared" si="20"/>
        <v>2267383.9500000002</v>
      </c>
      <c r="P101" s="320"/>
      <c r="Q101" s="321"/>
      <c r="R101" s="321"/>
      <c r="S101" s="322"/>
      <c r="T101" s="331">
        <f>'Project Final Cost Tracking'!C100</f>
        <v>0</v>
      </c>
      <c r="U101" s="342">
        <f t="shared" si="28"/>
        <v>-236908.51657341188</v>
      </c>
      <c r="V101" s="341">
        <f t="shared" si="21"/>
        <v>-0.19459383912212919</v>
      </c>
      <c r="W101" s="342">
        <f t="shared" si="29"/>
        <v>5034139.0334265884</v>
      </c>
      <c r="X101" s="343">
        <f t="shared" si="22"/>
        <v>0</v>
      </c>
      <c r="Y101" s="239">
        <f t="shared" si="30"/>
        <v>1171343.8999999999</v>
      </c>
      <c r="Z101" s="255">
        <f t="shared" si="31"/>
        <v>2.1262586803099788E-2</v>
      </c>
      <c r="AA101" s="240">
        <f t="shared" si="23"/>
        <v>46556.83698478822</v>
      </c>
      <c r="AB101" s="238">
        <f>ROUND($C101*Allocations!$B$16,2)</f>
        <v>1165356.27</v>
      </c>
      <c r="AC101" s="241">
        <f>$C101*Allocations!$B$24</f>
        <v>0</v>
      </c>
      <c r="AD101" s="244">
        <f t="shared" si="24"/>
        <v>-190351.68</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12">
        <v>232546.38207642795</v>
      </c>
      <c r="G102" s="240">
        <v>47043.3</v>
      </c>
      <c r="H102" s="432">
        <v>250473.91</v>
      </c>
      <c r="I102" s="391">
        <f>$C102*Allocations!$B$16</f>
        <v>256005.97182038627</v>
      </c>
      <c r="J102" s="237">
        <f t="shared" si="25"/>
        <v>1097314.845661243</v>
      </c>
      <c r="K102" s="165">
        <f t="shared" si="26"/>
        <v>274328.71000000002</v>
      </c>
      <c r="L102" s="827">
        <v>35956.86</v>
      </c>
      <c r="M102" s="430">
        <f t="shared" si="27"/>
        <v>291962.83182038629</v>
      </c>
      <c r="N102" s="239">
        <f t="shared" si="19"/>
        <v>0</v>
      </c>
      <c r="O102" s="240">
        <f t="shared" si="20"/>
        <v>0</v>
      </c>
      <c r="P102" s="320"/>
      <c r="Q102" s="321"/>
      <c r="R102" s="321"/>
      <c r="S102" s="322"/>
      <c r="T102" s="331">
        <f>'Project Final Cost Tracking'!C101</f>
        <v>0</v>
      </c>
      <c r="U102" s="342">
        <f t="shared" si="28"/>
        <v>291962.83182038629</v>
      </c>
      <c r="V102" s="341">
        <f t="shared" si="21"/>
        <v>1.0642809927564134</v>
      </c>
      <c r="W102" s="342">
        <f t="shared" si="29"/>
        <v>1419095.4268203862</v>
      </c>
      <c r="X102" s="343">
        <f t="shared" si="22"/>
        <v>0</v>
      </c>
      <c r="Y102" s="239">
        <f t="shared" si="30"/>
        <v>250473.91</v>
      </c>
      <c r="Z102" s="255">
        <f t="shared" si="31"/>
        <v>4.5466777547454717E-3</v>
      </c>
      <c r="AA102" s="240">
        <f t="shared" si="23"/>
        <v>9955.4648270354392</v>
      </c>
      <c r="AB102" s="238">
        <f>ROUND($C102*Allocations!$B$16,2)</f>
        <v>256005.97</v>
      </c>
      <c r="AC102" s="241">
        <f>$C102*Allocations!$B$24</f>
        <v>0</v>
      </c>
      <c r="AD102" s="244">
        <f t="shared" si="24"/>
        <v>301918.28999999998</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6">
        <v>557672.71581265097</v>
      </c>
      <c r="E103" s="344">
        <v>114950.94306228062</v>
      </c>
      <c r="F103" s="612">
        <v>565982.29342356045</v>
      </c>
      <c r="G103" s="344">
        <v>114496.18</v>
      </c>
      <c r="H103" s="433">
        <v>558821.21</v>
      </c>
      <c r="I103" s="392">
        <f>$C103*Allocations!$B$16</f>
        <v>566176.84376928024</v>
      </c>
      <c r="J103" s="388">
        <f t="shared" si="25"/>
        <v>2478100.1860677721</v>
      </c>
      <c r="K103" s="168">
        <f t="shared" si="26"/>
        <v>619525.05000000005</v>
      </c>
      <c r="L103" s="829">
        <v>1332660.71</v>
      </c>
      <c r="M103" s="430">
        <f t="shared" si="27"/>
        <v>1898837.5537692802</v>
      </c>
      <c r="N103" s="239">
        <f t="shared" si="19"/>
        <v>186029.75</v>
      </c>
      <c r="O103" s="240">
        <f t="shared" si="20"/>
        <v>186029.75</v>
      </c>
      <c r="P103" s="345"/>
      <c r="Q103" s="346"/>
      <c r="R103" s="346"/>
      <c r="S103" s="347"/>
      <c r="T103" s="331">
        <f>'Project Final Cost Tracking'!C102</f>
        <v>0</v>
      </c>
      <c r="U103" s="342">
        <f t="shared" si="28"/>
        <v>1712807.8037692802</v>
      </c>
      <c r="V103" s="348">
        <f t="shared" si="21"/>
        <v>2.7647111343912245</v>
      </c>
      <c r="W103" s="349">
        <f t="shared" si="29"/>
        <v>4227503.2487692796</v>
      </c>
      <c r="X103" s="343">
        <f t="shared" si="22"/>
        <v>0</v>
      </c>
      <c r="Y103" s="239">
        <f t="shared" si="30"/>
        <v>558821.21</v>
      </c>
      <c r="Z103" s="351">
        <f t="shared" si="31"/>
        <v>1.0143890692595279E-2</v>
      </c>
      <c r="AA103" s="240">
        <f t="shared" si="23"/>
        <v>22211.195173007778</v>
      </c>
      <c r="AB103" s="238">
        <f>ROUND($C103*Allocations!$B$16,2)</f>
        <v>566176.84</v>
      </c>
      <c r="AC103" s="241">
        <f>$C103*Allocations!$B$24</f>
        <v>0</v>
      </c>
      <c r="AD103" s="244">
        <f t="shared" si="24"/>
        <v>1735019</v>
      </c>
      <c r="AE103" s="162"/>
      <c r="AF103" s="159"/>
      <c r="AG103" s="174"/>
      <c r="AH103" s="157"/>
      <c r="AI103" s="156"/>
      <c r="AJ103" s="157"/>
      <c r="AK103" s="174"/>
      <c r="AL103" s="157"/>
      <c r="AM103" s="156">
        <f>Wright!C7</f>
        <v>186029.75</v>
      </c>
      <c r="AN103" s="157">
        <f>Wright!D7</f>
        <v>186029.75</v>
      </c>
      <c r="AO103" s="156"/>
      <c r="AP103" s="157"/>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5">
        <f t="shared" si="32"/>
        <v>56471448.000000015</v>
      </c>
      <c r="E104" s="381">
        <f t="shared" si="32"/>
        <v>11640243.497000003</v>
      </c>
      <c r="F104" s="386">
        <f>SUM(F5:F103)</f>
        <v>57390411.000000007</v>
      </c>
      <c r="G104" s="668">
        <f>SUM(G5:G103)</f>
        <v>11609874.010000004</v>
      </c>
      <c r="H104" s="669">
        <f>SUM(H5:H103)</f>
        <v>57781622.000000022</v>
      </c>
      <c r="I104" s="390">
        <f>SUM(I5:I103)</f>
        <v>57781621.999999985</v>
      </c>
      <c r="J104" s="389">
        <f t="shared" si="32"/>
        <v>252675220.50699997</v>
      </c>
      <c r="K104" s="353">
        <f t="shared" si="32"/>
        <v>63168805.140000008</v>
      </c>
      <c r="L104" s="354">
        <f>SUM(L5:L103)</f>
        <v>65235647.18</v>
      </c>
      <c r="M104" s="355">
        <f t="shared" si="32"/>
        <v>123017269.17999993</v>
      </c>
      <c r="N104" s="333">
        <f t="shared" si="32"/>
        <v>32812377.050000001</v>
      </c>
      <c r="O104" s="356">
        <f t="shared" si="32"/>
        <v>32038859.100000001</v>
      </c>
      <c r="P104" s="357">
        <f>SUM(P5:P103)</f>
        <v>0</v>
      </c>
      <c r="Q104" s="358">
        <f>SUM(Q5:Q103)</f>
        <v>0</v>
      </c>
      <c r="R104" s="358">
        <f>SUM(R5:R103)</f>
        <v>0</v>
      </c>
      <c r="S104" s="359">
        <f>SUM(S5:S103)</f>
        <v>0</v>
      </c>
      <c r="T104" s="360">
        <f t="shared" si="32"/>
        <v>112083.78000000026</v>
      </c>
      <c r="U104" s="361">
        <f t="shared" si="32"/>
        <v>90866326.300000012</v>
      </c>
      <c r="V104" s="362"/>
      <c r="W104" s="363"/>
      <c r="X104" s="254">
        <f t="shared" ref="X104:AD104" si="33">SUM(X5:X103)</f>
        <v>2189613.0238490496</v>
      </c>
      <c r="Y104" s="332">
        <f t="shared" si="33"/>
        <v>55089435.300000012</v>
      </c>
      <c r="Z104" s="364">
        <f t="shared" si="33"/>
        <v>1.0000000000000004</v>
      </c>
      <c r="AA104" s="333">
        <f t="shared" si="33"/>
        <v>2189613.0238490496</v>
      </c>
      <c r="AB104" s="250">
        <f t="shared" si="33"/>
        <v>57781621.980000012</v>
      </c>
      <c r="AC104" s="251">
        <f>SUM(AC5:AC103)</f>
        <v>0</v>
      </c>
      <c r="AD104" s="252">
        <f t="shared" si="33"/>
        <v>90866326.279999956</v>
      </c>
      <c r="AE104" s="44">
        <f t="shared" ref="AE104:BC104" si="34">SUM(AE5:AE103)</f>
        <v>2749109.79</v>
      </c>
      <c r="AF104" s="43">
        <f t="shared" si="34"/>
        <v>2747109.79</v>
      </c>
      <c r="AG104" s="42">
        <f t="shared" si="34"/>
        <v>4204749.79</v>
      </c>
      <c r="AH104" s="37">
        <f t="shared" si="34"/>
        <v>4204749.79</v>
      </c>
      <c r="AI104" s="607">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0</v>
      </c>
      <c r="AP104" s="37">
        <f t="shared" si="34"/>
        <v>0</v>
      </c>
      <c r="AQ104" s="38">
        <f t="shared" si="34"/>
        <v>0</v>
      </c>
      <c r="AR104" s="41">
        <f t="shared" si="34"/>
        <v>0</v>
      </c>
      <c r="AS104" s="38">
        <f t="shared" si="34"/>
        <v>0</v>
      </c>
      <c r="AT104" s="37">
        <f t="shared" si="34"/>
        <v>0</v>
      </c>
      <c r="AU104" s="40">
        <f t="shared" si="34"/>
        <v>0</v>
      </c>
      <c r="AV104" s="39">
        <f t="shared" si="34"/>
        <v>0</v>
      </c>
      <c r="AW104" s="39">
        <f t="shared" si="34"/>
        <v>0</v>
      </c>
      <c r="AX104" s="39">
        <f t="shared" si="34"/>
        <v>0</v>
      </c>
      <c r="AY104" s="40">
        <f t="shared" si="34"/>
        <v>0</v>
      </c>
      <c r="AZ104" s="39">
        <f t="shared" si="34"/>
        <v>0</v>
      </c>
      <c r="BA104" s="36">
        <f t="shared" si="34"/>
        <v>0</v>
      </c>
      <c r="BB104" s="35">
        <f t="shared" si="34"/>
        <v>0</v>
      </c>
      <c r="BC104" s="35">
        <f t="shared" si="34"/>
        <v>0</v>
      </c>
    </row>
    <row r="105" spans="1:56" ht="12" thickTop="1">
      <c r="F105" s="383"/>
      <c r="G105" s="383"/>
      <c r="H105" s="310"/>
      <c r="I105" s="310"/>
      <c r="J105" s="312"/>
      <c r="L105" s="365"/>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0</v>
      </c>
      <c r="AR105" s="32">
        <f>IF(AQ104=0,0,(AR104/AQ104)*100)</f>
        <v>0</v>
      </c>
      <c r="AT105" s="32">
        <f>IF(AS104=0,0,(AT104/AS104)*100)</f>
        <v>0</v>
      </c>
      <c r="AV105" s="32">
        <f>IF(AU104=0,0,(AV104/AU104)*100)</f>
        <v>0</v>
      </c>
      <c r="AX105" s="114">
        <f>IF(AW104=0,0,(AX104/AW104)*100)</f>
        <v>0</v>
      </c>
      <c r="AZ105" s="32">
        <f>IF(AY104=0,0,(AZ104/AY104)*100)</f>
        <v>0</v>
      </c>
      <c r="BB105" s="32">
        <f>IF(BA104=0,0,(BB104/BA104)*100)</f>
        <v>0</v>
      </c>
      <c r="BC105" s="28"/>
    </row>
    <row r="106" spans="1:56" ht="15" customHeight="1">
      <c r="J106" s="315"/>
      <c r="X106" s="317"/>
      <c r="Y106" s="370"/>
      <c r="AO106" s="210"/>
      <c r="AP106" s="210"/>
    </row>
    <row r="107" spans="1:56" ht="12.75" customHeight="1">
      <c r="X107" s="317"/>
      <c r="Y107" s="370"/>
      <c r="AB107" s="334"/>
      <c r="AO107" s="210"/>
      <c r="AP107" s="210"/>
    </row>
    <row r="108" spans="1:56" ht="12.75" customHeight="1">
      <c r="AO108" s="211"/>
      <c r="AP108" s="211"/>
      <c r="AR108" s="319"/>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1:C1"/>
    <mergeCell ref="A2:A4"/>
    <mergeCell ref="B2:B4"/>
    <mergeCell ref="C2:C4"/>
    <mergeCell ref="D3:D4"/>
    <mergeCell ref="D2:K2"/>
    <mergeCell ref="K3:K4"/>
    <mergeCell ref="J3:J4"/>
    <mergeCell ref="E3:E4"/>
    <mergeCell ref="F3:F4"/>
    <mergeCell ref="G3:G4"/>
    <mergeCell ref="H3:H4"/>
    <mergeCell ref="I3:I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7" bestFit="1" customWidth="1"/>
    <col min="6" max="6" width="13.42578125" style="437" customWidth="1"/>
    <col min="7" max="7" width="11.42578125" style="437" bestFit="1" customWidth="1"/>
    <col min="8" max="8" width="13.42578125" style="437" customWidth="1"/>
    <col min="9" max="9" width="11.42578125" bestFit="1" customWidth="1"/>
    <col min="10" max="10" width="13.42578125" customWidth="1"/>
  </cols>
  <sheetData>
    <row r="1" spans="1:10" ht="15.75" thickBot="1">
      <c r="A1" s="932" t="s">
        <v>213</v>
      </c>
      <c r="B1" s="933"/>
      <c r="C1" s="933"/>
      <c r="D1" s="933"/>
      <c r="E1" s="933"/>
      <c r="F1" s="933"/>
      <c r="G1" s="933"/>
      <c r="H1" s="933"/>
      <c r="I1" s="933"/>
      <c r="J1" s="934"/>
    </row>
    <row r="2" spans="1:10" s="437" customFormat="1" ht="15" customHeight="1">
      <c r="A2" s="939" t="s">
        <v>110</v>
      </c>
      <c r="B2" s="941" t="s">
        <v>111</v>
      </c>
      <c r="C2" s="941" t="s">
        <v>112</v>
      </c>
      <c r="D2" s="943" t="s">
        <v>120</v>
      </c>
      <c r="E2" s="937" t="s">
        <v>702</v>
      </c>
      <c r="F2" s="938"/>
      <c r="G2" s="937" t="s">
        <v>703</v>
      </c>
      <c r="H2" s="938"/>
      <c r="I2" s="912" t="s">
        <v>801</v>
      </c>
      <c r="J2" s="913"/>
    </row>
    <row r="3" spans="1:10" ht="46.5" thickBot="1">
      <c r="A3" s="940"/>
      <c r="B3" s="942"/>
      <c r="C3" s="942"/>
      <c r="D3" s="944"/>
      <c r="E3" s="465" t="s">
        <v>121</v>
      </c>
      <c r="F3" s="473" t="s">
        <v>705</v>
      </c>
      <c r="G3" s="465" t="s">
        <v>121</v>
      </c>
      <c r="H3" s="473" t="s">
        <v>705</v>
      </c>
      <c r="I3" s="483" t="s">
        <v>121</v>
      </c>
      <c r="J3" s="25" t="s">
        <v>705</v>
      </c>
    </row>
    <row r="4" spans="1:10">
      <c r="A4" s="70">
        <v>43879</v>
      </c>
      <c r="B4" s="71" t="s">
        <v>388</v>
      </c>
      <c r="C4" s="72">
        <v>328910.75</v>
      </c>
      <c r="D4" s="434">
        <f t="shared" ref="D4:D9" si="0">C4</f>
        <v>328910.75</v>
      </c>
      <c r="E4" s="474">
        <v>329088.71000000002</v>
      </c>
      <c r="F4" s="475">
        <f>IF(ISBLANK(E4),"----",E4-$D4)</f>
        <v>177.96000000002095</v>
      </c>
      <c r="G4" s="474" t="s">
        <v>704</v>
      </c>
      <c r="H4" s="475" t="str">
        <f t="shared" ref="H4:H20" si="1">IF(OR(G4="Complete",ISBLANK(G4)),"----",G4-$D4)</f>
        <v>----</v>
      </c>
      <c r="I4" s="484" t="s">
        <v>704</v>
      </c>
      <c r="J4" s="73" t="str">
        <f t="shared" ref="J4:J20" si="2">IF(OR(I4="Complete",ISBLANK(I4)),"----",I4-$D4)</f>
        <v>----</v>
      </c>
    </row>
    <row r="5" spans="1:10">
      <c r="A5" s="88">
        <v>44243</v>
      </c>
      <c r="B5" s="101" t="s">
        <v>389</v>
      </c>
      <c r="C5" s="82">
        <v>1124957.78</v>
      </c>
      <c r="D5" s="436">
        <f t="shared" si="0"/>
        <v>1124957.78</v>
      </c>
      <c r="E5" s="476">
        <v>1136870.06</v>
      </c>
      <c r="F5" s="477">
        <f t="shared" ref="F5:F20" si="3">IF(ISBLANK(E5),"----",E5-$D5)</f>
        <v>11912.280000000028</v>
      </c>
      <c r="G5" s="476" t="s">
        <v>704</v>
      </c>
      <c r="H5" s="477" t="str">
        <f t="shared" si="1"/>
        <v>----</v>
      </c>
      <c r="I5" s="489" t="s">
        <v>704</v>
      </c>
      <c r="J5" s="83" t="str">
        <f t="shared" si="2"/>
        <v>----</v>
      </c>
    </row>
    <row r="6" spans="1:10">
      <c r="A6" s="102">
        <v>44243</v>
      </c>
      <c r="B6" s="103" t="s">
        <v>390</v>
      </c>
      <c r="C6" s="87">
        <v>415071.74</v>
      </c>
      <c r="D6" s="471">
        <f t="shared" si="0"/>
        <v>415071.74</v>
      </c>
      <c r="E6" s="478">
        <v>415288.15</v>
      </c>
      <c r="F6" s="477">
        <f t="shared" si="3"/>
        <v>216.4100000000326</v>
      </c>
      <c r="G6" s="478" t="s">
        <v>704</v>
      </c>
      <c r="H6" s="477" t="str">
        <f t="shared" si="1"/>
        <v>----</v>
      </c>
      <c r="I6" s="491" t="s">
        <v>704</v>
      </c>
      <c r="J6" s="83" t="str">
        <f t="shared" si="2"/>
        <v>----</v>
      </c>
    </row>
    <row r="7" spans="1:10">
      <c r="A7" s="102">
        <v>44880</v>
      </c>
      <c r="B7" s="103" t="s">
        <v>584</v>
      </c>
      <c r="C7" s="87">
        <v>809573.8</v>
      </c>
      <c r="D7" s="471">
        <f t="shared" si="0"/>
        <v>809573.8</v>
      </c>
      <c r="E7" s="478"/>
      <c r="F7" s="477" t="str">
        <f t="shared" si="3"/>
        <v>----</v>
      </c>
      <c r="G7" s="478">
        <v>813133.24</v>
      </c>
      <c r="H7" s="477">
        <f t="shared" si="1"/>
        <v>3559.4399999999441</v>
      </c>
      <c r="I7" s="803" t="s">
        <v>704</v>
      </c>
      <c r="J7" s="83" t="str">
        <f t="shared" si="2"/>
        <v>----</v>
      </c>
    </row>
    <row r="8" spans="1:10">
      <c r="A8" s="102">
        <v>45279</v>
      </c>
      <c r="B8" s="103" t="s">
        <v>688</v>
      </c>
      <c r="C8" s="87">
        <v>1051193.58</v>
      </c>
      <c r="D8" s="471">
        <f t="shared" si="0"/>
        <v>1051193.58</v>
      </c>
      <c r="E8" s="478"/>
      <c r="F8" s="477" t="str">
        <f t="shared" si="3"/>
        <v>----</v>
      </c>
      <c r="G8" s="478"/>
      <c r="H8" s="477" t="str">
        <f t="shared" si="1"/>
        <v>----</v>
      </c>
      <c r="I8" s="491"/>
      <c r="J8" s="83" t="str">
        <f t="shared" si="2"/>
        <v>----</v>
      </c>
    </row>
    <row r="9" spans="1:10">
      <c r="A9" s="102">
        <v>45615</v>
      </c>
      <c r="B9" s="455" t="s">
        <v>784</v>
      </c>
      <c r="C9" s="373">
        <v>495774.71</v>
      </c>
      <c r="D9" s="572">
        <f t="shared" si="0"/>
        <v>495774.71</v>
      </c>
      <c r="E9" s="478"/>
      <c r="F9" s="477" t="str">
        <f t="shared" si="3"/>
        <v>----</v>
      </c>
      <c r="G9" s="478"/>
      <c r="H9" s="477" t="str">
        <f t="shared" si="1"/>
        <v>----</v>
      </c>
      <c r="I9" s="491"/>
      <c r="J9" s="83" t="str">
        <f t="shared" si="2"/>
        <v>----</v>
      </c>
    </row>
    <row r="10" spans="1:10">
      <c r="A10" s="102"/>
      <c r="B10" s="103"/>
      <c r="C10" s="373"/>
      <c r="D10" s="572"/>
      <c r="E10" s="478"/>
      <c r="F10" s="477" t="str">
        <f t="shared" si="3"/>
        <v>----</v>
      </c>
      <c r="G10" s="478"/>
      <c r="H10" s="477" t="str">
        <f t="shared" si="1"/>
        <v>----</v>
      </c>
      <c r="I10" s="491"/>
      <c r="J10" s="83" t="str">
        <f t="shared" si="2"/>
        <v>----</v>
      </c>
    </row>
    <row r="11" spans="1:10">
      <c r="A11" s="102"/>
      <c r="B11" s="103"/>
      <c r="C11" s="373"/>
      <c r="D11" s="572"/>
      <c r="E11" s="478"/>
      <c r="F11" s="477" t="str">
        <f t="shared" si="3"/>
        <v>----</v>
      </c>
      <c r="G11" s="478"/>
      <c r="H11" s="477" t="str">
        <f t="shared" si="1"/>
        <v>----</v>
      </c>
      <c r="I11" s="491"/>
      <c r="J11" s="83" t="str">
        <f t="shared" si="2"/>
        <v>----</v>
      </c>
    </row>
    <row r="12" spans="1:10">
      <c r="A12" s="102"/>
      <c r="B12" s="103"/>
      <c r="C12" s="373"/>
      <c r="D12" s="572"/>
      <c r="E12" s="478"/>
      <c r="F12" s="477" t="str">
        <f t="shared" si="3"/>
        <v>----</v>
      </c>
      <c r="G12" s="478"/>
      <c r="H12" s="477" t="str">
        <f t="shared" si="1"/>
        <v>----</v>
      </c>
      <c r="I12" s="491"/>
      <c r="J12" s="83" t="str">
        <f t="shared" si="2"/>
        <v>----</v>
      </c>
    </row>
    <row r="13" spans="1:10">
      <c r="A13" s="102"/>
      <c r="B13" s="103"/>
      <c r="C13" s="373"/>
      <c r="D13" s="572"/>
      <c r="E13" s="478"/>
      <c r="F13" s="477" t="str">
        <f t="shared" si="3"/>
        <v>----</v>
      </c>
      <c r="G13" s="478"/>
      <c r="H13" s="477" t="str">
        <f t="shared" si="1"/>
        <v>----</v>
      </c>
      <c r="I13" s="491"/>
      <c r="J13" s="83" t="str">
        <f t="shared" si="2"/>
        <v>----</v>
      </c>
    </row>
    <row r="14" spans="1:10">
      <c r="A14" s="102"/>
      <c r="B14" s="103"/>
      <c r="C14" s="373"/>
      <c r="D14" s="572"/>
      <c r="E14" s="478"/>
      <c r="F14" s="477" t="str">
        <f t="shared" si="3"/>
        <v>----</v>
      </c>
      <c r="G14" s="478"/>
      <c r="H14" s="477" t="str">
        <f t="shared" si="1"/>
        <v>----</v>
      </c>
      <c r="I14" s="491"/>
      <c r="J14" s="83" t="str">
        <f t="shared" si="2"/>
        <v>----</v>
      </c>
    </row>
    <row r="15" spans="1:10">
      <c r="A15" s="102"/>
      <c r="B15" s="103"/>
      <c r="C15" s="373"/>
      <c r="D15" s="572"/>
      <c r="E15" s="478"/>
      <c r="F15" s="477" t="str">
        <f t="shared" si="3"/>
        <v>----</v>
      </c>
      <c r="G15" s="478"/>
      <c r="H15" s="477" t="str">
        <f t="shared" si="1"/>
        <v>----</v>
      </c>
      <c r="I15" s="491"/>
      <c r="J15" s="83" t="str">
        <f t="shared" si="2"/>
        <v>----</v>
      </c>
    </row>
    <row r="16" spans="1:10">
      <c r="A16" s="102"/>
      <c r="B16" s="103"/>
      <c r="C16" s="373"/>
      <c r="D16" s="572"/>
      <c r="E16" s="478"/>
      <c r="F16" s="477" t="str">
        <f t="shared" si="3"/>
        <v>----</v>
      </c>
      <c r="G16" s="478"/>
      <c r="H16" s="477" t="str">
        <f t="shared" si="1"/>
        <v>----</v>
      </c>
      <c r="I16" s="491"/>
      <c r="J16" s="83" t="str">
        <f t="shared" si="2"/>
        <v>----</v>
      </c>
    </row>
    <row r="17" spans="1:10">
      <c r="A17" s="102"/>
      <c r="B17" s="103"/>
      <c r="C17" s="373"/>
      <c r="D17" s="572"/>
      <c r="E17" s="478"/>
      <c r="F17" s="477" t="str">
        <f t="shared" si="3"/>
        <v>----</v>
      </c>
      <c r="G17" s="478"/>
      <c r="H17" s="477" t="str">
        <f t="shared" si="1"/>
        <v>----</v>
      </c>
      <c r="I17" s="491"/>
      <c r="J17" s="83" t="str">
        <f t="shared" si="2"/>
        <v>----</v>
      </c>
    </row>
    <row r="18" spans="1:10">
      <c r="A18" s="102"/>
      <c r="B18" s="103"/>
      <c r="C18" s="373"/>
      <c r="D18" s="572"/>
      <c r="E18" s="478"/>
      <c r="F18" s="477" t="str">
        <f t="shared" si="3"/>
        <v>----</v>
      </c>
      <c r="G18" s="478"/>
      <c r="H18" s="477" t="str">
        <f t="shared" si="1"/>
        <v>----</v>
      </c>
      <c r="I18" s="491"/>
      <c r="J18" s="83" t="str">
        <f t="shared" si="2"/>
        <v>----</v>
      </c>
    </row>
    <row r="19" spans="1:10">
      <c r="A19" s="116"/>
      <c r="B19" s="117"/>
      <c r="C19" s="617"/>
      <c r="D19" s="618"/>
      <c r="E19" s="479"/>
      <c r="F19" s="477" t="str">
        <f t="shared" si="3"/>
        <v>----</v>
      </c>
      <c r="G19" s="479"/>
      <c r="H19" s="477" t="str">
        <f t="shared" si="1"/>
        <v>----</v>
      </c>
      <c r="I19" s="493"/>
      <c r="J19" s="83" t="str">
        <f t="shared" si="2"/>
        <v>----</v>
      </c>
    </row>
    <row r="20" spans="1:10" ht="15.75" thickBot="1">
      <c r="A20" s="74"/>
      <c r="B20" s="75"/>
      <c r="C20" s="376"/>
      <c r="D20" s="536"/>
      <c r="E20" s="480"/>
      <c r="F20" s="481" t="str">
        <f t="shared" si="3"/>
        <v>----</v>
      </c>
      <c r="G20" s="480"/>
      <c r="H20" s="481" t="str">
        <f t="shared" si="1"/>
        <v>----</v>
      </c>
      <c r="I20" s="486"/>
      <c r="J20" s="77" t="str">
        <f t="shared" si="2"/>
        <v>----</v>
      </c>
    </row>
    <row r="21" spans="1:10" ht="15.75" thickBot="1">
      <c r="A21" s="27"/>
      <c r="B21" s="27"/>
      <c r="C21" s="28"/>
      <c r="D21" s="28"/>
      <c r="E21" s="444"/>
      <c r="F21" s="446">
        <f>SUM(F4:F20)</f>
        <v>12306.650000000081</v>
      </c>
      <c r="G21" s="444"/>
      <c r="H21" s="446">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D15" sqref="D15"/>
    </sheetView>
  </sheetViews>
  <sheetFormatPr defaultRowHeight="15"/>
  <cols>
    <col min="2" max="2" width="23.42578125" bestFit="1" customWidth="1"/>
    <col min="3" max="3" width="12" bestFit="1" customWidth="1"/>
    <col min="4" max="4" width="12" customWidth="1"/>
    <col min="5" max="5" width="15" style="437" customWidth="1"/>
    <col min="6" max="6" width="11.42578125" style="437" customWidth="1"/>
    <col min="7" max="7" width="10.7109375" style="437" bestFit="1" customWidth="1"/>
    <col min="8" max="8" width="11.42578125" style="437" customWidth="1"/>
    <col min="9" max="9" width="10.7109375" bestFit="1" customWidth="1"/>
    <col min="10" max="10" width="11.42578125" customWidth="1"/>
  </cols>
  <sheetData>
    <row r="1" spans="1:11" ht="15.75" thickBot="1">
      <c r="A1" s="932" t="s">
        <v>286</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43998</v>
      </c>
      <c r="B4" s="71" t="s">
        <v>384</v>
      </c>
      <c r="C4" s="798">
        <v>603460.9</v>
      </c>
      <c r="D4" s="805">
        <f>C4</f>
        <v>603460.9</v>
      </c>
      <c r="E4" s="812"/>
      <c r="F4" s="821" t="str">
        <f t="shared" ref="F4:F22" si="0">IF(ISBLANK(E4),"----",E4-D4)</f>
        <v>----</v>
      </c>
      <c r="G4" s="812">
        <v>593794.54</v>
      </c>
      <c r="H4" s="821">
        <f t="shared" ref="H4:H22" si="1">IF(OR(G4="Complete",ISBLANK(G4)),"----",G4-$D4)</f>
        <v>-9666.359999999986</v>
      </c>
      <c r="I4" s="809" t="s">
        <v>704</v>
      </c>
      <c r="J4" s="822" t="str">
        <f t="shared" ref="J4:J22" si="2">IF(OR(I4="Complete",ISBLANK(I4)),"----",I4-$D4)</f>
        <v>----</v>
      </c>
    </row>
    <row r="5" spans="1:11">
      <c r="A5" s="108">
        <v>43998</v>
      </c>
      <c r="B5" s="107" t="s">
        <v>295</v>
      </c>
      <c r="C5" s="840">
        <v>501470</v>
      </c>
      <c r="D5" s="841">
        <v>0</v>
      </c>
      <c r="E5" s="842"/>
      <c r="F5" s="843" t="str">
        <f t="shared" si="0"/>
        <v>----</v>
      </c>
      <c r="G5" s="842"/>
      <c r="H5" s="843" t="str">
        <f t="shared" si="1"/>
        <v>----</v>
      </c>
      <c r="I5" s="844"/>
      <c r="J5" s="845" t="str">
        <f t="shared" si="2"/>
        <v>----</v>
      </c>
      <c r="K5" t="s">
        <v>296</v>
      </c>
    </row>
    <row r="6" spans="1:11">
      <c r="A6" s="91">
        <v>44061</v>
      </c>
      <c r="B6" s="92" t="s">
        <v>383</v>
      </c>
      <c r="C6" s="799">
        <v>973940.25</v>
      </c>
      <c r="D6" s="815">
        <v>973940.25</v>
      </c>
      <c r="E6" s="817"/>
      <c r="F6" s="843" t="str">
        <f t="shared" si="0"/>
        <v>----</v>
      </c>
      <c r="G6" s="817"/>
      <c r="H6" s="843" t="str">
        <f t="shared" si="1"/>
        <v>----</v>
      </c>
      <c r="I6" s="816"/>
      <c r="J6" s="845" t="str">
        <f t="shared" si="2"/>
        <v>----</v>
      </c>
    </row>
    <row r="7" spans="1:11">
      <c r="A7" s="950">
        <v>44216</v>
      </c>
      <c r="B7" s="103" t="s">
        <v>385</v>
      </c>
      <c r="C7" s="787">
        <v>907170.4</v>
      </c>
      <c r="D7" s="746">
        <v>306350.40000000002</v>
      </c>
      <c r="E7" s="756"/>
      <c r="F7" s="843" t="str">
        <f t="shared" si="0"/>
        <v>----</v>
      </c>
      <c r="G7" s="756"/>
      <c r="H7" s="843" t="str">
        <f t="shared" si="1"/>
        <v>----</v>
      </c>
      <c r="I7" s="751"/>
      <c r="J7" s="845" t="str">
        <f t="shared" si="2"/>
        <v>----</v>
      </c>
    </row>
    <row r="8" spans="1:11">
      <c r="A8" s="952"/>
      <c r="B8" s="103" t="s">
        <v>386</v>
      </c>
      <c r="C8" s="787">
        <v>631337.55000000005</v>
      </c>
      <c r="D8" s="746">
        <v>167067.54999999999</v>
      </c>
      <c r="E8" s="756"/>
      <c r="F8" s="843" t="str">
        <f t="shared" si="0"/>
        <v>----</v>
      </c>
      <c r="G8" s="756"/>
      <c r="H8" s="843" t="str">
        <f t="shared" si="1"/>
        <v>----</v>
      </c>
      <c r="I8" s="751"/>
      <c r="J8" s="845" t="str">
        <f t="shared" si="2"/>
        <v>----</v>
      </c>
    </row>
    <row r="9" spans="1:11">
      <c r="A9" s="102">
        <v>44698</v>
      </c>
      <c r="B9" s="103" t="s">
        <v>517</v>
      </c>
      <c r="C9" s="787">
        <v>1542860.84</v>
      </c>
      <c r="D9" s="746">
        <f>C9</f>
        <v>1542860.84</v>
      </c>
      <c r="E9" s="756"/>
      <c r="F9" s="843" t="str">
        <f t="shared" si="0"/>
        <v>----</v>
      </c>
      <c r="G9" s="756"/>
      <c r="H9" s="843" t="str">
        <f t="shared" si="1"/>
        <v>----</v>
      </c>
      <c r="I9" s="751"/>
      <c r="J9" s="845" t="str">
        <f t="shared" si="2"/>
        <v>----</v>
      </c>
    </row>
    <row r="10" spans="1:11">
      <c r="A10" s="102">
        <v>44698</v>
      </c>
      <c r="B10" s="103" t="s">
        <v>518</v>
      </c>
      <c r="C10" s="787">
        <v>541346.30000000005</v>
      </c>
      <c r="D10" s="746">
        <f>C10</f>
        <v>541346.30000000005</v>
      </c>
      <c r="E10" s="756"/>
      <c r="F10" s="843" t="str">
        <f t="shared" si="0"/>
        <v>----</v>
      </c>
      <c r="G10" s="756"/>
      <c r="H10" s="843" t="str">
        <f t="shared" si="1"/>
        <v>----</v>
      </c>
      <c r="I10" s="751"/>
      <c r="J10" s="845" t="str">
        <f t="shared" si="2"/>
        <v>----</v>
      </c>
    </row>
    <row r="11" spans="1:11">
      <c r="A11" s="102">
        <v>45006</v>
      </c>
      <c r="B11" s="103" t="s">
        <v>643</v>
      </c>
      <c r="C11" s="787">
        <v>1132113.1000000001</v>
      </c>
      <c r="D11" s="746">
        <f>C11</f>
        <v>1132113.1000000001</v>
      </c>
      <c r="E11" s="756"/>
      <c r="F11" s="843" t="str">
        <f t="shared" si="0"/>
        <v>----</v>
      </c>
      <c r="G11" s="756"/>
      <c r="H11" s="843" t="str">
        <f t="shared" si="1"/>
        <v>----</v>
      </c>
      <c r="I11" s="751"/>
      <c r="J11" s="845" t="str">
        <f t="shared" si="2"/>
        <v>----</v>
      </c>
    </row>
    <row r="12" spans="1:11">
      <c r="A12" s="102">
        <v>45679</v>
      </c>
      <c r="B12" s="738" t="s">
        <v>822</v>
      </c>
      <c r="C12" s="787">
        <v>1372445.3</v>
      </c>
      <c r="D12" s="746">
        <f>C12</f>
        <v>1372445.3</v>
      </c>
      <c r="E12" s="756"/>
      <c r="F12" s="843" t="str">
        <f t="shared" si="0"/>
        <v>----</v>
      </c>
      <c r="G12" s="756"/>
      <c r="H12" s="843" t="str">
        <f t="shared" si="1"/>
        <v>----</v>
      </c>
      <c r="I12" s="751"/>
      <c r="J12" s="845" t="str">
        <f t="shared" si="2"/>
        <v>----</v>
      </c>
    </row>
    <row r="13" spans="1:11">
      <c r="A13" s="102">
        <v>45706</v>
      </c>
      <c r="B13" s="738" t="s">
        <v>855</v>
      </c>
      <c r="C13" s="787">
        <v>751517.95</v>
      </c>
      <c r="D13" s="746">
        <v>0</v>
      </c>
      <c r="E13" s="756"/>
      <c r="F13" s="843" t="str">
        <f t="shared" si="0"/>
        <v>----</v>
      </c>
      <c r="G13" s="756"/>
      <c r="H13" s="843" t="str">
        <f t="shared" si="1"/>
        <v>----</v>
      </c>
      <c r="I13" s="751"/>
      <c r="J13" s="845" t="str">
        <f t="shared" si="2"/>
        <v>----</v>
      </c>
      <c r="K13" t="s">
        <v>856</v>
      </c>
    </row>
    <row r="14" spans="1:11">
      <c r="A14" s="102">
        <v>45734</v>
      </c>
      <c r="B14" s="738" t="s">
        <v>868</v>
      </c>
      <c r="C14" s="787">
        <v>894938.65</v>
      </c>
      <c r="D14" s="746">
        <f>C14</f>
        <v>894938.65</v>
      </c>
      <c r="E14" s="756"/>
      <c r="F14" s="843" t="str">
        <f t="shared" si="0"/>
        <v>----</v>
      </c>
      <c r="G14" s="756"/>
      <c r="H14" s="843" t="str">
        <f t="shared" si="1"/>
        <v>----</v>
      </c>
      <c r="I14" s="751"/>
      <c r="J14" s="845" t="str">
        <f t="shared" si="2"/>
        <v>----</v>
      </c>
    </row>
    <row r="15" spans="1:11">
      <c r="A15" s="102"/>
      <c r="B15" s="103"/>
      <c r="C15" s="787"/>
      <c r="D15" s="746"/>
      <c r="E15" s="756"/>
      <c r="F15" s="843" t="str">
        <f t="shared" si="0"/>
        <v>----</v>
      </c>
      <c r="G15" s="756"/>
      <c r="H15" s="843" t="str">
        <f t="shared" si="1"/>
        <v>----</v>
      </c>
      <c r="I15" s="751"/>
      <c r="J15" s="845" t="str">
        <f t="shared" si="2"/>
        <v>----</v>
      </c>
    </row>
    <row r="16" spans="1:11">
      <c r="A16" s="102"/>
      <c r="B16" s="103"/>
      <c r="C16" s="787"/>
      <c r="D16" s="746"/>
      <c r="E16" s="756"/>
      <c r="F16" s="843" t="str">
        <f t="shared" si="0"/>
        <v>----</v>
      </c>
      <c r="G16" s="756"/>
      <c r="H16" s="843" t="str">
        <f t="shared" si="1"/>
        <v>----</v>
      </c>
      <c r="I16" s="751"/>
      <c r="J16" s="845" t="str">
        <f t="shared" si="2"/>
        <v>----</v>
      </c>
    </row>
    <row r="17" spans="1:10">
      <c r="A17" s="102"/>
      <c r="B17" s="103"/>
      <c r="C17" s="787"/>
      <c r="D17" s="746"/>
      <c r="E17" s="756"/>
      <c r="F17" s="843" t="str">
        <f t="shared" si="0"/>
        <v>----</v>
      </c>
      <c r="G17" s="756"/>
      <c r="H17" s="843" t="str">
        <f t="shared" si="1"/>
        <v>----</v>
      </c>
      <c r="I17" s="751"/>
      <c r="J17" s="845" t="str">
        <f t="shared" si="2"/>
        <v>----</v>
      </c>
    </row>
    <row r="18" spans="1:10">
      <c r="A18" s="102"/>
      <c r="B18" s="103"/>
      <c r="C18" s="787"/>
      <c r="D18" s="746"/>
      <c r="E18" s="756"/>
      <c r="F18" s="843" t="str">
        <f t="shared" si="0"/>
        <v>----</v>
      </c>
      <c r="G18" s="756"/>
      <c r="H18" s="843" t="str">
        <f t="shared" si="1"/>
        <v>----</v>
      </c>
      <c r="I18" s="751"/>
      <c r="J18" s="845" t="str">
        <f t="shared" si="2"/>
        <v>----</v>
      </c>
    </row>
    <row r="19" spans="1:10">
      <c r="A19" s="102"/>
      <c r="B19" s="103"/>
      <c r="C19" s="787"/>
      <c r="D19" s="746"/>
      <c r="E19" s="756"/>
      <c r="F19" s="843" t="str">
        <f t="shared" si="0"/>
        <v>----</v>
      </c>
      <c r="G19" s="756"/>
      <c r="H19" s="843" t="str">
        <f t="shared" si="1"/>
        <v>----</v>
      </c>
      <c r="I19" s="751"/>
      <c r="J19" s="845" t="str">
        <f t="shared" si="2"/>
        <v>----</v>
      </c>
    </row>
    <row r="20" spans="1:10">
      <c r="A20" s="102"/>
      <c r="B20" s="103"/>
      <c r="C20" s="787"/>
      <c r="D20" s="746"/>
      <c r="E20" s="756"/>
      <c r="F20" s="843" t="str">
        <f t="shared" si="0"/>
        <v>----</v>
      </c>
      <c r="G20" s="756"/>
      <c r="H20" s="843" t="str">
        <f t="shared" si="1"/>
        <v>----</v>
      </c>
      <c r="I20" s="751"/>
      <c r="J20" s="845" t="str">
        <f t="shared" si="2"/>
        <v>----</v>
      </c>
    </row>
    <row r="21" spans="1:10">
      <c r="A21" s="116"/>
      <c r="B21" s="117"/>
      <c r="C21" s="790"/>
      <c r="D21" s="807"/>
      <c r="E21" s="757"/>
      <c r="F21" s="843" t="str">
        <f t="shared" si="0"/>
        <v>----</v>
      </c>
      <c r="G21" s="757"/>
      <c r="H21" s="843" t="str">
        <f t="shared" si="1"/>
        <v>----</v>
      </c>
      <c r="I21" s="752"/>
      <c r="J21" s="845" t="str">
        <f t="shared" si="2"/>
        <v>----</v>
      </c>
    </row>
    <row r="22" spans="1:10" ht="15.75" thickBot="1">
      <c r="A22" s="74"/>
      <c r="B22" s="75"/>
      <c r="C22" s="800"/>
      <c r="D22" s="808"/>
      <c r="E22" s="814"/>
      <c r="F22" s="819" t="str">
        <f t="shared" si="0"/>
        <v>----</v>
      </c>
      <c r="G22" s="814"/>
      <c r="H22" s="819" t="str">
        <f t="shared" si="1"/>
        <v>----</v>
      </c>
      <c r="I22" s="811"/>
      <c r="J22" s="820" t="str">
        <f t="shared" si="2"/>
        <v>----</v>
      </c>
    </row>
    <row r="23" spans="1:10" ht="15.75" thickBot="1">
      <c r="A23" s="27"/>
      <c r="B23" s="27"/>
      <c r="C23" s="832"/>
      <c r="D23" s="832"/>
      <c r="E23" s="832"/>
      <c r="F23" s="833">
        <f>SUM(F4:F22)</f>
        <v>0</v>
      </c>
      <c r="G23" s="832"/>
      <c r="H23" s="833">
        <f>SUM(H4:H22)</f>
        <v>-9666.359999999986</v>
      </c>
      <c r="I23" s="832"/>
      <c r="J23" s="833">
        <f>SUM(J4:J22)</f>
        <v>0</v>
      </c>
    </row>
  </sheetData>
  <mergeCells count="9">
    <mergeCell ref="A1:J1"/>
    <mergeCell ref="A7:A8"/>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G6" sqref="G6"/>
    </sheetView>
  </sheetViews>
  <sheetFormatPr defaultRowHeight="15"/>
  <cols>
    <col min="2" max="2" width="22.85546875" bestFit="1" customWidth="1"/>
    <col min="3" max="3" width="10.7109375" bestFit="1" customWidth="1"/>
    <col min="4" max="4" width="11.7109375" customWidth="1"/>
    <col min="5" max="5" width="10.85546875" style="437" customWidth="1"/>
    <col min="6" max="6" width="13" style="437" customWidth="1"/>
    <col min="7" max="7" width="10.85546875" style="437" customWidth="1"/>
    <col min="8" max="8" width="13" style="437" customWidth="1"/>
    <col min="9" max="9" width="10.85546875" customWidth="1"/>
    <col min="10" max="10" width="13" customWidth="1"/>
  </cols>
  <sheetData>
    <row r="1" spans="1:11" ht="15.75" thickBot="1">
      <c r="A1" s="932" t="s">
        <v>159</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43816</v>
      </c>
      <c r="B4" s="71" t="s">
        <v>160</v>
      </c>
      <c r="C4" s="72">
        <v>474997.6</v>
      </c>
      <c r="D4" s="434">
        <f>C4</f>
        <v>474997.6</v>
      </c>
      <c r="E4" s="474"/>
      <c r="F4" s="475" t="str">
        <f t="shared" ref="F4:F21" si="0">IF(ISBLANK(E4),"----",E4-D4)</f>
        <v>----</v>
      </c>
      <c r="G4" s="474">
        <v>468460.44</v>
      </c>
      <c r="H4" s="475">
        <f t="shared" ref="H4:H21" si="1">IF(OR(G4="Complete",ISBLANK(G4)),"----",G4-$D4)</f>
        <v>-6537.1599999999744</v>
      </c>
      <c r="I4" s="484"/>
      <c r="J4" s="73" t="str">
        <f t="shared" ref="J4:J21" si="2">IF(OR(I4="Complete",ISBLANK(I4)),"----",I4-$D4)</f>
        <v>----</v>
      </c>
    </row>
    <row r="5" spans="1:11">
      <c r="A5" s="88">
        <v>44271</v>
      </c>
      <c r="B5" s="101" t="s">
        <v>413</v>
      </c>
      <c r="C5" s="82">
        <v>165849.29999999999</v>
      </c>
      <c r="D5" s="436">
        <f>C5</f>
        <v>165849.29999999999</v>
      </c>
      <c r="E5" s="476"/>
      <c r="F5" s="492" t="str">
        <f t="shared" si="0"/>
        <v>----</v>
      </c>
      <c r="G5" s="476">
        <v>139595.85999999999</v>
      </c>
      <c r="H5" s="492">
        <f t="shared" si="1"/>
        <v>-26253.440000000002</v>
      </c>
      <c r="I5" s="489"/>
      <c r="J5" s="119" t="str">
        <f t="shared" si="2"/>
        <v>----</v>
      </c>
    </row>
    <row r="6" spans="1:11">
      <c r="A6" s="102">
        <v>44271</v>
      </c>
      <c r="B6" s="103" t="s">
        <v>414</v>
      </c>
      <c r="C6" s="87">
        <v>535241.1</v>
      </c>
      <c r="D6" s="471">
        <v>357726.1</v>
      </c>
      <c r="E6" s="478"/>
      <c r="F6" s="492" t="str">
        <f t="shared" si="0"/>
        <v>----</v>
      </c>
      <c r="G6" s="478">
        <f>534629.13-177515</f>
        <v>357114.13</v>
      </c>
      <c r="H6" s="492">
        <f t="shared" si="1"/>
        <v>-611.96999999997206</v>
      </c>
      <c r="I6" s="491" t="s">
        <v>704</v>
      </c>
      <c r="J6" s="119" t="str">
        <f t="shared" si="2"/>
        <v>----</v>
      </c>
      <c r="K6" t="s">
        <v>775</v>
      </c>
    </row>
    <row r="7" spans="1:11">
      <c r="A7" s="102">
        <v>44516</v>
      </c>
      <c r="B7" s="103" t="s">
        <v>474</v>
      </c>
      <c r="C7" s="87">
        <v>209206.8</v>
      </c>
      <c r="D7" s="471">
        <f>C7</f>
        <v>209206.8</v>
      </c>
      <c r="E7" s="478"/>
      <c r="F7" s="492" t="str">
        <f t="shared" si="0"/>
        <v>----</v>
      </c>
      <c r="G7" s="509"/>
      <c r="H7" s="492" t="str">
        <f t="shared" si="1"/>
        <v>----</v>
      </c>
      <c r="I7" s="507"/>
      <c r="J7" s="119" t="str">
        <f t="shared" si="2"/>
        <v>----</v>
      </c>
    </row>
    <row r="8" spans="1:11">
      <c r="A8" s="102">
        <v>45524</v>
      </c>
      <c r="B8" s="455" t="s">
        <v>772</v>
      </c>
      <c r="C8" s="608">
        <v>408541.7</v>
      </c>
      <c r="D8" s="609">
        <f>C8</f>
        <v>408541.7</v>
      </c>
      <c r="E8" s="478"/>
      <c r="F8" s="492" t="str">
        <f t="shared" si="0"/>
        <v>----</v>
      </c>
      <c r="G8" s="478"/>
      <c r="H8" s="492" t="str">
        <f t="shared" si="1"/>
        <v>----</v>
      </c>
      <c r="I8" s="491"/>
      <c r="J8" s="119" t="str">
        <f t="shared" si="2"/>
        <v>----</v>
      </c>
    </row>
    <row r="9" spans="1:11">
      <c r="A9" s="102"/>
      <c r="B9" s="103"/>
      <c r="C9" s="87"/>
      <c r="D9" s="471"/>
      <c r="E9" s="478"/>
      <c r="F9" s="492" t="str">
        <f t="shared" si="0"/>
        <v>----</v>
      </c>
      <c r="G9" s="478"/>
      <c r="H9" s="492" t="str">
        <f t="shared" si="1"/>
        <v>----</v>
      </c>
      <c r="I9" s="491"/>
      <c r="J9" s="119" t="str">
        <f t="shared" si="2"/>
        <v>----</v>
      </c>
    </row>
    <row r="10" spans="1:11">
      <c r="A10" s="102"/>
      <c r="B10" s="103"/>
      <c r="C10" s="87"/>
      <c r="D10" s="471"/>
      <c r="E10" s="478"/>
      <c r="F10" s="492" t="str">
        <f t="shared" si="0"/>
        <v>----</v>
      </c>
      <c r="G10" s="478"/>
      <c r="H10" s="492" t="str">
        <f t="shared" si="1"/>
        <v>----</v>
      </c>
      <c r="I10" s="491"/>
      <c r="J10" s="119" t="str">
        <f t="shared" si="2"/>
        <v>----</v>
      </c>
    </row>
    <row r="11" spans="1:11">
      <c r="A11" s="102"/>
      <c r="B11" s="103"/>
      <c r="C11" s="87"/>
      <c r="D11" s="471"/>
      <c r="E11" s="478"/>
      <c r="F11" s="492" t="str">
        <f t="shared" si="0"/>
        <v>----</v>
      </c>
      <c r="G11" s="478"/>
      <c r="H11" s="492" t="str">
        <f t="shared" si="1"/>
        <v>----</v>
      </c>
      <c r="I11" s="491"/>
      <c r="J11" s="119" t="str">
        <f t="shared" si="2"/>
        <v>----</v>
      </c>
    </row>
    <row r="12" spans="1:11">
      <c r="A12" s="102"/>
      <c r="B12" s="103"/>
      <c r="C12" s="87"/>
      <c r="D12" s="471"/>
      <c r="E12" s="478"/>
      <c r="F12" s="492" t="str">
        <f t="shared" si="0"/>
        <v>----</v>
      </c>
      <c r="G12" s="478"/>
      <c r="H12" s="492" t="str">
        <f t="shared" si="1"/>
        <v>----</v>
      </c>
      <c r="I12" s="491"/>
      <c r="J12" s="119" t="str">
        <f t="shared" si="2"/>
        <v>----</v>
      </c>
    </row>
    <row r="13" spans="1:11">
      <c r="A13" s="102"/>
      <c r="B13" s="103"/>
      <c r="C13" s="87"/>
      <c r="D13" s="471"/>
      <c r="E13" s="478"/>
      <c r="F13" s="492" t="str">
        <f t="shared" si="0"/>
        <v>----</v>
      </c>
      <c r="G13" s="478"/>
      <c r="H13" s="492" t="str">
        <f t="shared" si="1"/>
        <v>----</v>
      </c>
      <c r="I13" s="491"/>
      <c r="J13" s="119" t="str">
        <f t="shared" si="2"/>
        <v>----</v>
      </c>
    </row>
    <row r="14" spans="1:11">
      <c r="A14" s="102"/>
      <c r="B14" s="103"/>
      <c r="C14" s="87"/>
      <c r="D14" s="471"/>
      <c r="E14" s="478"/>
      <c r="F14" s="492" t="str">
        <f t="shared" si="0"/>
        <v>----</v>
      </c>
      <c r="G14" s="478"/>
      <c r="H14" s="492" t="str">
        <f t="shared" si="1"/>
        <v>----</v>
      </c>
      <c r="I14" s="491"/>
      <c r="J14" s="119" t="str">
        <f t="shared" si="2"/>
        <v>----</v>
      </c>
    </row>
    <row r="15" spans="1:11">
      <c r="A15" s="102"/>
      <c r="B15" s="103"/>
      <c r="C15" s="87"/>
      <c r="D15" s="471"/>
      <c r="E15" s="478"/>
      <c r="F15" s="492" t="str">
        <f t="shared" si="0"/>
        <v>----</v>
      </c>
      <c r="G15" s="478"/>
      <c r="H15" s="492" t="str">
        <f t="shared" si="1"/>
        <v>----</v>
      </c>
      <c r="I15" s="491"/>
      <c r="J15" s="119" t="str">
        <f t="shared" si="2"/>
        <v>----</v>
      </c>
    </row>
    <row r="16" spans="1:11">
      <c r="A16" s="102"/>
      <c r="B16" s="103"/>
      <c r="C16" s="87"/>
      <c r="D16" s="471"/>
      <c r="E16" s="478"/>
      <c r="F16" s="492" t="str">
        <f t="shared" si="0"/>
        <v>----</v>
      </c>
      <c r="G16" s="478"/>
      <c r="H16" s="492" t="str">
        <f t="shared" si="1"/>
        <v>----</v>
      </c>
      <c r="I16" s="491"/>
      <c r="J16" s="119" t="str">
        <f t="shared" si="2"/>
        <v>----</v>
      </c>
    </row>
    <row r="17" spans="1:10">
      <c r="A17" s="102"/>
      <c r="B17" s="103"/>
      <c r="C17" s="87"/>
      <c r="D17" s="471"/>
      <c r="E17" s="478"/>
      <c r="F17" s="492" t="str">
        <f t="shared" si="0"/>
        <v>----</v>
      </c>
      <c r="G17" s="478"/>
      <c r="H17" s="492" t="str">
        <f t="shared" si="1"/>
        <v>----</v>
      </c>
      <c r="I17" s="491"/>
      <c r="J17" s="119" t="str">
        <f t="shared" si="2"/>
        <v>----</v>
      </c>
    </row>
    <row r="18" spans="1:10">
      <c r="A18" s="102"/>
      <c r="B18" s="103"/>
      <c r="C18" s="87"/>
      <c r="D18" s="471"/>
      <c r="E18" s="478"/>
      <c r="F18" s="492" t="str">
        <f t="shared" si="0"/>
        <v>----</v>
      </c>
      <c r="G18" s="478"/>
      <c r="H18" s="492" t="str">
        <f t="shared" si="1"/>
        <v>----</v>
      </c>
      <c r="I18" s="491"/>
      <c r="J18" s="119" t="str">
        <f t="shared" si="2"/>
        <v>----</v>
      </c>
    </row>
    <row r="19" spans="1:10">
      <c r="A19" s="102"/>
      <c r="B19" s="103"/>
      <c r="C19" s="87"/>
      <c r="D19" s="471"/>
      <c r="E19" s="478"/>
      <c r="F19" s="492" t="str">
        <f t="shared" si="0"/>
        <v>----</v>
      </c>
      <c r="G19" s="478"/>
      <c r="H19" s="492" t="str">
        <f t="shared" si="1"/>
        <v>----</v>
      </c>
      <c r="I19" s="491"/>
      <c r="J19" s="119" t="str">
        <f t="shared" si="2"/>
        <v>----</v>
      </c>
    </row>
    <row r="20" spans="1:10">
      <c r="A20" s="116"/>
      <c r="B20" s="117"/>
      <c r="C20" s="118"/>
      <c r="D20" s="472"/>
      <c r="E20" s="479"/>
      <c r="F20" s="492" t="str">
        <f t="shared" si="0"/>
        <v>----</v>
      </c>
      <c r="G20" s="479"/>
      <c r="H20" s="492" t="str">
        <f t="shared" si="1"/>
        <v>----</v>
      </c>
      <c r="I20" s="493"/>
      <c r="J20" s="119" t="str">
        <f t="shared" si="2"/>
        <v>----</v>
      </c>
    </row>
    <row r="21" spans="1:10" ht="15.75" thickBot="1">
      <c r="A21" s="74"/>
      <c r="B21" s="75"/>
      <c r="C21" s="76"/>
      <c r="D21" s="435"/>
      <c r="E21" s="480"/>
      <c r="F21" s="481" t="str">
        <f t="shared" si="0"/>
        <v>----</v>
      </c>
      <c r="G21" s="480"/>
      <c r="H21" s="481" t="str">
        <f t="shared" si="1"/>
        <v>----</v>
      </c>
      <c r="I21" s="486"/>
      <c r="J21" s="77" t="str">
        <f t="shared" si="2"/>
        <v>----</v>
      </c>
    </row>
    <row r="22" spans="1:10" ht="15.75" thickBot="1">
      <c r="A22" s="27"/>
      <c r="B22" s="27"/>
      <c r="C22" s="28"/>
      <c r="D22" s="28"/>
      <c r="E22" s="444"/>
      <c r="F22" s="446">
        <f>SUM(F4:F21)</f>
        <v>0</v>
      </c>
      <c r="G22" s="444"/>
      <c r="H22" s="446">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N11" sqref="N11"/>
    </sheetView>
  </sheetViews>
  <sheetFormatPr defaultRowHeight="15"/>
  <cols>
    <col min="2" max="2" width="22.42578125" bestFit="1" customWidth="1"/>
    <col min="3" max="3" width="11.42578125" bestFit="1" customWidth="1"/>
    <col min="4" max="4" width="10.7109375" bestFit="1" customWidth="1"/>
    <col min="5" max="8" width="9.140625" style="437"/>
  </cols>
  <sheetData>
    <row r="1" spans="1:11" ht="15.75" thickBot="1">
      <c r="A1" s="932" t="s">
        <v>287</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69" thickBot="1">
      <c r="A3" s="940"/>
      <c r="B3" s="942"/>
      <c r="C3" s="942"/>
      <c r="D3" s="954"/>
      <c r="E3" s="465" t="s">
        <v>121</v>
      </c>
      <c r="F3" s="473" t="s">
        <v>113</v>
      </c>
      <c r="G3" s="465" t="s">
        <v>121</v>
      </c>
      <c r="H3" s="473" t="s">
        <v>113</v>
      </c>
      <c r="I3" s="483" t="s">
        <v>121</v>
      </c>
      <c r="J3" s="25" t="s">
        <v>113</v>
      </c>
    </row>
    <row r="4" spans="1:11">
      <c r="A4" s="70">
        <v>44580</v>
      </c>
      <c r="B4" s="71" t="s">
        <v>495</v>
      </c>
      <c r="C4" s="798">
        <v>330320.53999999998</v>
      </c>
      <c r="D4" s="805">
        <f>C4</f>
        <v>330320.53999999998</v>
      </c>
      <c r="E4" s="812"/>
      <c r="F4" s="821" t="str">
        <f t="shared" ref="F4:F25" si="0">IF(ISBLANK(E4),"----",E4-D4)</f>
        <v>----</v>
      </c>
      <c r="G4" s="812"/>
      <c r="H4" s="821" t="str">
        <f t="shared" ref="H4:H25" si="1">IF(OR(G4="Complete",ISBLANK(G4)),"----",G4-$D4)</f>
        <v>----</v>
      </c>
      <c r="I4" s="809"/>
      <c r="J4" s="822" t="str">
        <f t="shared" ref="J4:J25" si="2">IF(OR(I4="Complete",ISBLANK(I4)),"----",I4-$D4)</f>
        <v>----</v>
      </c>
    </row>
    <row r="5" spans="1:11">
      <c r="A5" s="88">
        <v>44944</v>
      </c>
      <c r="B5" s="101" t="s">
        <v>632</v>
      </c>
      <c r="C5" s="801">
        <v>571677.49</v>
      </c>
      <c r="D5" s="806">
        <f>C5</f>
        <v>571677.49</v>
      </c>
      <c r="E5" s="813"/>
      <c r="F5" s="825" t="str">
        <f t="shared" si="0"/>
        <v>----</v>
      </c>
      <c r="G5" s="813"/>
      <c r="H5" s="825" t="str">
        <f t="shared" si="1"/>
        <v>----</v>
      </c>
      <c r="I5" s="810"/>
      <c r="J5" s="826" t="str">
        <f t="shared" si="2"/>
        <v>----</v>
      </c>
    </row>
    <row r="6" spans="1:11">
      <c r="A6" s="91">
        <v>45188</v>
      </c>
      <c r="B6" s="92" t="s">
        <v>660</v>
      </c>
      <c r="C6" s="799">
        <v>1252888.1499999999</v>
      </c>
      <c r="D6" s="815">
        <f>C6-75000-1000000</f>
        <v>177888.14999999991</v>
      </c>
      <c r="E6" s="817"/>
      <c r="F6" s="679" t="str">
        <f t="shared" si="0"/>
        <v>----</v>
      </c>
      <c r="G6" s="817"/>
      <c r="H6" s="679" t="str">
        <f t="shared" si="1"/>
        <v>----</v>
      </c>
      <c r="I6" s="816"/>
      <c r="J6" s="680" t="str">
        <f t="shared" si="2"/>
        <v>----</v>
      </c>
      <c r="K6" t="s">
        <v>661</v>
      </c>
    </row>
    <row r="7" spans="1:11">
      <c r="A7" s="88">
        <v>45734</v>
      </c>
      <c r="B7" s="714" t="s">
        <v>869</v>
      </c>
      <c r="C7" s="801">
        <v>186029.75</v>
      </c>
      <c r="D7" s="806">
        <f>C7</f>
        <v>186029.75</v>
      </c>
      <c r="E7" s="813"/>
      <c r="F7" s="825" t="str">
        <f t="shared" si="0"/>
        <v>----</v>
      </c>
      <c r="G7" s="813"/>
      <c r="H7" s="825" t="str">
        <f t="shared" si="1"/>
        <v>----</v>
      </c>
      <c r="I7" s="810"/>
      <c r="J7" s="826" t="str">
        <f t="shared" si="2"/>
        <v>----</v>
      </c>
    </row>
    <row r="8" spans="1:11">
      <c r="A8" s="91"/>
      <c r="B8" s="92"/>
      <c r="C8" s="799"/>
      <c r="D8" s="815"/>
      <c r="E8" s="817"/>
      <c r="F8" s="679" t="str">
        <f t="shared" si="0"/>
        <v>----</v>
      </c>
      <c r="G8" s="817"/>
      <c r="H8" s="679" t="str">
        <f t="shared" si="1"/>
        <v>----</v>
      </c>
      <c r="I8" s="816"/>
      <c r="J8" s="680" t="str">
        <f t="shared" si="2"/>
        <v>----</v>
      </c>
    </row>
    <row r="9" spans="1:11">
      <c r="A9" s="88"/>
      <c r="B9" s="101"/>
      <c r="C9" s="801"/>
      <c r="D9" s="806"/>
      <c r="E9" s="813"/>
      <c r="F9" s="825" t="str">
        <f t="shared" si="0"/>
        <v>----</v>
      </c>
      <c r="G9" s="813"/>
      <c r="H9" s="825" t="str">
        <f t="shared" si="1"/>
        <v>----</v>
      </c>
      <c r="I9" s="810"/>
      <c r="J9" s="826" t="str">
        <f t="shared" si="2"/>
        <v>----</v>
      </c>
    </row>
    <row r="10" spans="1:11">
      <c r="A10" s="91"/>
      <c r="B10" s="92"/>
      <c r="C10" s="799"/>
      <c r="D10" s="815"/>
      <c r="E10" s="817"/>
      <c r="F10" s="679" t="str">
        <f t="shared" si="0"/>
        <v>----</v>
      </c>
      <c r="G10" s="817"/>
      <c r="H10" s="679" t="str">
        <f t="shared" si="1"/>
        <v>----</v>
      </c>
      <c r="I10" s="816"/>
      <c r="J10" s="680" t="str">
        <f t="shared" si="2"/>
        <v>----</v>
      </c>
    </row>
    <row r="11" spans="1:11">
      <c r="A11" s="88"/>
      <c r="B11" s="101"/>
      <c r="C11" s="801"/>
      <c r="D11" s="806"/>
      <c r="E11" s="813"/>
      <c r="F11" s="825" t="str">
        <f t="shared" si="0"/>
        <v>----</v>
      </c>
      <c r="G11" s="813"/>
      <c r="H11" s="825" t="str">
        <f t="shared" si="1"/>
        <v>----</v>
      </c>
      <c r="I11" s="810"/>
      <c r="J11" s="826" t="str">
        <f t="shared" si="2"/>
        <v>----</v>
      </c>
    </row>
    <row r="12" spans="1:11">
      <c r="A12" s="91"/>
      <c r="B12" s="92"/>
      <c r="C12" s="799"/>
      <c r="D12" s="815"/>
      <c r="E12" s="817"/>
      <c r="F12" s="679" t="str">
        <f t="shared" si="0"/>
        <v>----</v>
      </c>
      <c r="G12" s="817"/>
      <c r="H12" s="679" t="str">
        <f t="shared" si="1"/>
        <v>----</v>
      </c>
      <c r="I12" s="816"/>
      <c r="J12" s="680" t="str">
        <f t="shared" si="2"/>
        <v>----</v>
      </c>
    </row>
    <row r="13" spans="1:11">
      <c r="A13" s="88"/>
      <c r="B13" s="101"/>
      <c r="C13" s="801"/>
      <c r="D13" s="806"/>
      <c r="E13" s="813"/>
      <c r="F13" s="825" t="str">
        <f t="shared" si="0"/>
        <v>----</v>
      </c>
      <c r="G13" s="813"/>
      <c r="H13" s="825" t="str">
        <f t="shared" si="1"/>
        <v>----</v>
      </c>
      <c r="I13" s="810"/>
      <c r="J13" s="826" t="str">
        <f t="shared" si="2"/>
        <v>----</v>
      </c>
    </row>
    <row r="14" spans="1:11">
      <c r="A14" s="91"/>
      <c r="B14" s="92"/>
      <c r="C14" s="799"/>
      <c r="D14" s="815"/>
      <c r="E14" s="817"/>
      <c r="F14" s="679" t="str">
        <f t="shared" si="0"/>
        <v>----</v>
      </c>
      <c r="G14" s="817"/>
      <c r="H14" s="679" t="str">
        <f t="shared" si="1"/>
        <v>----</v>
      </c>
      <c r="I14" s="816"/>
      <c r="J14" s="680" t="str">
        <f t="shared" si="2"/>
        <v>----</v>
      </c>
    </row>
    <row r="15" spans="1:11">
      <c r="A15" s="88"/>
      <c r="B15" s="101"/>
      <c r="C15" s="801"/>
      <c r="D15" s="806"/>
      <c r="E15" s="813"/>
      <c r="F15" s="825" t="str">
        <f t="shared" si="0"/>
        <v>----</v>
      </c>
      <c r="G15" s="813"/>
      <c r="H15" s="825" t="str">
        <f t="shared" si="1"/>
        <v>----</v>
      </c>
      <c r="I15" s="810"/>
      <c r="J15" s="826" t="str">
        <f t="shared" si="2"/>
        <v>----</v>
      </c>
    </row>
    <row r="16" spans="1:11">
      <c r="A16" s="91"/>
      <c r="B16" s="92"/>
      <c r="C16" s="799"/>
      <c r="D16" s="815"/>
      <c r="E16" s="817"/>
      <c r="F16" s="679" t="str">
        <f t="shared" si="0"/>
        <v>----</v>
      </c>
      <c r="G16" s="817"/>
      <c r="H16" s="679" t="str">
        <f t="shared" si="1"/>
        <v>----</v>
      </c>
      <c r="I16" s="816"/>
      <c r="J16" s="680" t="str">
        <f t="shared" si="2"/>
        <v>----</v>
      </c>
    </row>
    <row r="17" spans="1:10">
      <c r="A17" s="88"/>
      <c r="B17" s="101"/>
      <c r="C17" s="801"/>
      <c r="D17" s="806"/>
      <c r="E17" s="813"/>
      <c r="F17" s="825" t="str">
        <f t="shared" si="0"/>
        <v>----</v>
      </c>
      <c r="G17" s="813"/>
      <c r="H17" s="825" t="str">
        <f t="shared" si="1"/>
        <v>----</v>
      </c>
      <c r="I17" s="810"/>
      <c r="J17" s="826" t="str">
        <f t="shared" si="2"/>
        <v>----</v>
      </c>
    </row>
    <row r="18" spans="1:10">
      <c r="A18" s="91"/>
      <c r="B18" s="92"/>
      <c r="C18" s="799"/>
      <c r="D18" s="815"/>
      <c r="E18" s="817"/>
      <c r="F18" s="679" t="str">
        <f t="shared" si="0"/>
        <v>----</v>
      </c>
      <c r="G18" s="817"/>
      <c r="H18" s="679" t="str">
        <f t="shared" si="1"/>
        <v>----</v>
      </c>
      <c r="I18" s="816"/>
      <c r="J18" s="680" t="str">
        <f t="shared" si="2"/>
        <v>----</v>
      </c>
    </row>
    <row r="19" spans="1:10">
      <c r="A19" s="88"/>
      <c r="B19" s="101"/>
      <c r="C19" s="801"/>
      <c r="D19" s="806"/>
      <c r="E19" s="813"/>
      <c r="F19" s="825" t="str">
        <f t="shared" si="0"/>
        <v>----</v>
      </c>
      <c r="G19" s="813"/>
      <c r="H19" s="825" t="str">
        <f t="shared" si="1"/>
        <v>----</v>
      </c>
      <c r="I19" s="810"/>
      <c r="J19" s="826" t="str">
        <f t="shared" si="2"/>
        <v>----</v>
      </c>
    </row>
    <row r="20" spans="1:10">
      <c r="A20" s="91"/>
      <c r="B20" s="92"/>
      <c r="C20" s="799"/>
      <c r="D20" s="815"/>
      <c r="E20" s="817"/>
      <c r="F20" s="679" t="str">
        <f t="shared" si="0"/>
        <v>----</v>
      </c>
      <c r="G20" s="817"/>
      <c r="H20" s="679" t="str">
        <f t="shared" si="1"/>
        <v>----</v>
      </c>
      <c r="I20" s="816"/>
      <c r="J20" s="680" t="str">
        <f t="shared" si="2"/>
        <v>----</v>
      </c>
    </row>
    <row r="21" spans="1:10">
      <c r="A21" s="88"/>
      <c r="B21" s="101"/>
      <c r="C21" s="801"/>
      <c r="D21" s="806"/>
      <c r="E21" s="813"/>
      <c r="F21" s="825" t="str">
        <f t="shared" si="0"/>
        <v>----</v>
      </c>
      <c r="G21" s="813"/>
      <c r="H21" s="825" t="str">
        <f t="shared" si="1"/>
        <v>----</v>
      </c>
      <c r="I21" s="810"/>
      <c r="J21" s="826" t="str">
        <f t="shared" si="2"/>
        <v>----</v>
      </c>
    </row>
    <row r="22" spans="1:10">
      <c r="A22" s="91"/>
      <c r="B22" s="92"/>
      <c r="C22" s="799"/>
      <c r="D22" s="815"/>
      <c r="E22" s="817"/>
      <c r="F22" s="679" t="str">
        <f t="shared" si="0"/>
        <v>----</v>
      </c>
      <c r="G22" s="817"/>
      <c r="H22" s="679" t="str">
        <f t="shared" si="1"/>
        <v>----</v>
      </c>
      <c r="I22" s="816"/>
      <c r="J22" s="680" t="str">
        <f t="shared" si="2"/>
        <v>----</v>
      </c>
    </row>
    <row r="23" spans="1:10">
      <c r="A23" s="88"/>
      <c r="B23" s="101"/>
      <c r="C23" s="801"/>
      <c r="D23" s="806"/>
      <c r="E23" s="813"/>
      <c r="F23" s="825" t="str">
        <f t="shared" si="0"/>
        <v>----</v>
      </c>
      <c r="G23" s="813"/>
      <c r="H23" s="825" t="str">
        <f t="shared" si="1"/>
        <v>----</v>
      </c>
      <c r="I23" s="810"/>
      <c r="J23" s="826" t="str">
        <f t="shared" si="2"/>
        <v>----</v>
      </c>
    </row>
    <row r="24" spans="1:10">
      <c r="A24" s="91"/>
      <c r="B24" s="92"/>
      <c r="C24" s="799"/>
      <c r="D24" s="815"/>
      <c r="E24" s="817"/>
      <c r="F24" s="679" t="str">
        <f t="shared" si="0"/>
        <v>----</v>
      </c>
      <c r="G24" s="817"/>
      <c r="H24" s="679" t="str">
        <f t="shared" si="1"/>
        <v>----</v>
      </c>
      <c r="I24" s="816"/>
      <c r="J24" s="680" t="str">
        <f t="shared" si="2"/>
        <v>----</v>
      </c>
    </row>
    <row r="25" spans="1:10" ht="15.75" thickBot="1">
      <c r="A25" s="74"/>
      <c r="B25" s="75"/>
      <c r="C25" s="800"/>
      <c r="D25" s="808"/>
      <c r="E25" s="814"/>
      <c r="F25" s="819" t="str">
        <f t="shared" si="0"/>
        <v>----</v>
      </c>
      <c r="G25" s="814"/>
      <c r="H25" s="819" t="str">
        <f t="shared" si="1"/>
        <v>----</v>
      </c>
      <c r="I25" s="811"/>
      <c r="J25" s="820" t="str">
        <f t="shared" si="2"/>
        <v>----</v>
      </c>
    </row>
    <row r="26" spans="1:10" ht="15.75" thickBot="1">
      <c r="A26" s="27"/>
      <c r="B26" s="27"/>
      <c r="C26" s="832"/>
      <c r="D26" s="832"/>
      <c r="E26" s="832"/>
      <c r="F26" s="833">
        <f>SUM(F4:F25)</f>
        <v>0</v>
      </c>
      <c r="G26" s="832"/>
      <c r="H26" s="833">
        <f>SUM(H4:H25)</f>
        <v>0</v>
      </c>
      <c r="I26" s="832"/>
      <c r="J26" s="833">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32038859.100000001</v>
      </c>
      <c r="E10" s="267">
        <f>E9+B10+C10-D10</f>
        <v>27935358.773000009</v>
      </c>
      <c r="F10" s="22"/>
      <c r="G10" s="22"/>
      <c r="H10" s="267">
        <f t="shared" si="0"/>
        <v>24432588.900000013</v>
      </c>
      <c r="I10" s="267">
        <f t="shared" si="3"/>
        <v>-23044793.810000002</v>
      </c>
      <c r="J10" s="22"/>
    </row>
    <row r="11" spans="1:11">
      <c r="B11" s="266" t="s">
        <v>500</v>
      </c>
      <c r="D11" s="969" t="s">
        <v>501</v>
      </c>
      <c r="E11" s="969"/>
      <c r="F11" s="969"/>
      <c r="G11" s="969"/>
      <c r="H11" s="969"/>
      <c r="I11" s="969"/>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7" bestFit="1" customWidth="1"/>
    <col min="6" max="6" width="13.85546875" style="437" customWidth="1"/>
    <col min="7" max="7" width="10.140625" style="437" bestFit="1" customWidth="1"/>
    <col min="8" max="8" width="13.85546875" style="437" customWidth="1"/>
    <col min="9" max="9" width="10.140625" bestFit="1" customWidth="1"/>
    <col min="10" max="10" width="13.85546875" customWidth="1"/>
  </cols>
  <sheetData>
    <row r="1" spans="1:10" ht="15.75" thickBot="1">
      <c r="A1" s="932" t="s">
        <v>174</v>
      </c>
      <c r="B1" s="933"/>
      <c r="C1" s="933"/>
      <c r="D1" s="933"/>
      <c r="E1" s="933"/>
      <c r="F1" s="933"/>
      <c r="G1" s="933"/>
      <c r="H1" s="933"/>
      <c r="I1" s="933"/>
      <c r="J1" s="934"/>
    </row>
    <row r="2" spans="1:10" s="437" customFormat="1" ht="15" customHeight="1">
      <c r="A2" s="939" t="s">
        <v>110</v>
      </c>
      <c r="B2" s="941" t="s">
        <v>111</v>
      </c>
      <c r="C2" s="941" t="s">
        <v>112</v>
      </c>
      <c r="D2" s="943" t="s">
        <v>120</v>
      </c>
      <c r="E2" s="937" t="s">
        <v>702</v>
      </c>
      <c r="F2" s="938"/>
      <c r="G2" s="937" t="s">
        <v>703</v>
      </c>
      <c r="H2" s="938"/>
      <c r="I2" s="912" t="s">
        <v>801</v>
      </c>
      <c r="J2" s="913"/>
    </row>
    <row r="3" spans="1:10" ht="46.5" thickBot="1">
      <c r="A3" s="940"/>
      <c r="B3" s="942"/>
      <c r="C3" s="942"/>
      <c r="D3" s="944"/>
      <c r="E3" s="465" t="s">
        <v>121</v>
      </c>
      <c r="F3" s="473" t="s">
        <v>705</v>
      </c>
      <c r="G3" s="465" t="s">
        <v>121</v>
      </c>
      <c r="H3" s="473" t="s">
        <v>705</v>
      </c>
      <c r="I3" s="483" t="s">
        <v>121</v>
      </c>
      <c r="J3" s="25" t="s">
        <v>705</v>
      </c>
    </row>
    <row r="4" spans="1:10">
      <c r="A4" s="70">
        <v>43852</v>
      </c>
      <c r="B4" s="71" t="s">
        <v>212</v>
      </c>
      <c r="C4" s="72">
        <v>517957.05</v>
      </c>
      <c r="D4" s="434">
        <f>C4</f>
        <v>517957.05</v>
      </c>
      <c r="E4" s="474">
        <v>519777.9</v>
      </c>
      <c r="F4" s="475">
        <f>IF(ISBLANK(E4),"----",E4-$D4)</f>
        <v>1820.8500000000349</v>
      </c>
      <c r="G4" s="474" t="s">
        <v>704</v>
      </c>
      <c r="H4" s="475" t="str">
        <f t="shared" ref="H4:H23" si="0">IF(OR(G4="Complete",ISBLANK(G4)),"----",G4-$D4)</f>
        <v>----</v>
      </c>
      <c r="I4" s="484" t="s">
        <v>704</v>
      </c>
      <c r="J4" s="73" t="str">
        <f t="shared" ref="J4:J23" si="1">IF(OR(I4="Complete",ISBLANK(I4)),"----",I4-$D4)</f>
        <v>----</v>
      </c>
    </row>
    <row r="5" spans="1:10">
      <c r="A5" s="88">
        <v>44306</v>
      </c>
      <c r="B5" s="101" t="s">
        <v>419</v>
      </c>
      <c r="C5" s="82">
        <v>1117034.3999999999</v>
      </c>
      <c r="D5" s="436">
        <f>C5</f>
        <v>1117034.3999999999</v>
      </c>
      <c r="E5" s="476"/>
      <c r="F5" s="477" t="s">
        <v>706</v>
      </c>
      <c r="G5" s="476"/>
      <c r="H5" s="477" t="str">
        <f t="shared" si="0"/>
        <v>----</v>
      </c>
      <c r="I5" s="489"/>
      <c r="J5" s="83" t="str">
        <f t="shared" si="1"/>
        <v>----</v>
      </c>
    </row>
    <row r="6" spans="1:10">
      <c r="A6" s="102">
        <v>45615</v>
      </c>
      <c r="B6" s="455" t="s">
        <v>781</v>
      </c>
      <c r="C6" s="373">
        <v>586206.17000000004</v>
      </c>
      <c r="D6" s="512">
        <f>C6</f>
        <v>586206.17000000004</v>
      </c>
      <c r="E6" s="478"/>
      <c r="F6" s="490" t="str">
        <f t="shared" ref="F6:F23" si="2">IF(ISBLANK(E6),"----",E6-$D6)</f>
        <v>----</v>
      </c>
      <c r="G6" s="478"/>
      <c r="H6" s="490" t="str">
        <f t="shared" si="0"/>
        <v>----</v>
      </c>
      <c r="I6" s="491"/>
      <c r="J6" s="115" t="str">
        <f t="shared" si="1"/>
        <v>----</v>
      </c>
    </row>
    <row r="7" spans="1:10">
      <c r="A7" s="102"/>
      <c r="B7" s="103"/>
      <c r="C7" s="373"/>
      <c r="D7" s="572"/>
      <c r="E7" s="478"/>
      <c r="F7" s="490" t="str">
        <f t="shared" si="2"/>
        <v>----</v>
      </c>
      <c r="G7" s="478"/>
      <c r="H7" s="490" t="str">
        <f t="shared" si="0"/>
        <v>----</v>
      </c>
      <c r="I7" s="491"/>
      <c r="J7" s="115" t="str">
        <f t="shared" si="1"/>
        <v>----</v>
      </c>
    </row>
    <row r="8" spans="1:10">
      <c r="A8" s="102"/>
      <c r="B8" s="103"/>
      <c r="C8" s="373"/>
      <c r="D8" s="572"/>
      <c r="E8" s="478"/>
      <c r="F8" s="490" t="str">
        <f t="shared" si="2"/>
        <v>----</v>
      </c>
      <c r="G8" s="478"/>
      <c r="H8" s="490" t="str">
        <f t="shared" si="0"/>
        <v>----</v>
      </c>
      <c r="I8" s="491"/>
      <c r="J8" s="115" t="str">
        <f t="shared" si="1"/>
        <v>----</v>
      </c>
    </row>
    <row r="9" spans="1:10">
      <c r="A9" s="102"/>
      <c r="B9" s="103"/>
      <c r="C9" s="373"/>
      <c r="D9" s="572"/>
      <c r="E9" s="478"/>
      <c r="F9" s="490" t="str">
        <f t="shared" si="2"/>
        <v>----</v>
      </c>
      <c r="G9" s="478"/>
      <c r="H9" s="490" t="str">
        <f t="shared" si="0"/>
        <v>----</v>
      </c>
      <c r="I9" s="491"/>
      <c r="J9" s="115" t="str">
        <f t="shared" si="1"/>
        <v>----</v>
      </c>
    </row>
    <row r="10" spans="1:10">
      <c r="A10" s="102"/>
      <c r="B10" s="103"/>
      <c r="C10" s="373"/>
      <c r="D10" s="572"/>
      <c r="E10" s="478"/>
      <c r="F10" s="490" t="str">
        <f t="shared" si="2"/>
        <v>----</v>
      </c>
      <c r="G10" s="478"/>
      <c r="H10" s="490" t="str">
        <f t="shared" si="0"/>
        <v>----</v>
      </c>
      <c r="I10" s="491"/>
      <c r="J10" s="115" t="str">
        <f t="shared" si="1"/>
        <v>----</v>
      </c>
    </row>
    <row r="11" spans="1:10">
      <c r="A11" s="102"/>
      <c r="B11" s="103"/>
      <c r="C11" s="373"/>
      <c r="D11" s="572"/>
      <c r="E11" s="478"/>
      <c r="F11" s="490" t="str">
        <f t="shared" si="2"/>
        <v>----</v>
      </c>
      <c r="G11" s="478"/>
      <c r="H11" s="490" t="str">
        <f t="shared" si="0"/>
        <v>----</v>
      </c>
      <c r="I11" s="491"/>
      <c r="J11" s="115" t="str">
        <f t="shared" si="1"/>
        <v>----</v>
      </c>
    </row>
    <row r="12" spans="1:10">
      <c r="A12" s="102"/>
      <c r="B12" s="103"/>
      <c r="C12" s="373"/>
      <c r="D12" s="572"/>
      <c r="E12" s="478"/>
      <c r="F12" s="490" t="str">
        <f t="shared" si="2"/>
        <v>----</v>
      </c>
      <c r="G12" s="478"/>
      <c r="H12" s="490" t="str">
        <f t="shared" si="0"/>
        <v>----</v>
      </c>
      <c r="I12" s="491"/>
      <c r="J12" s="115" t="str">
        <f t="shared" si="1"/>
        <v>----</v>
      </c>
    </row>
    <row r="13" spans="1:10">
      <c r="A13" s="102"/>
      <c r="B13" s="103"/>
      <c r="C13" s="373"/>
      <c r="D13" s="572"/>
      <c r="E13" s="478"/>
      <c r="F13" s="490" t="str">
        <f t="shared" si="2"/>
        <v>----</v>
      </c>
      <c r="G13" s="478"/>
      <c r="H13" s="490" t="str">
        <f t="shared" si="0"/>
        <v>----</v>
      </c>
      <c r="I13" s="491"/>
      <c r="J13" s="115" t="str">
        <f t="shared" si="1"/>
        <v>----</v>
      </c>
    </row>
    <row r="14" spans="1:10">
      <c r="A14" s="102"/>
      <c r="B14" s="103"/>
      <c r="C14" s="373"/>
      <c r="D14" s="572"/>
      <c r="E14" s="478"/>
      <c r="F14" s="490" t="str">
        <f t="shared" si="2"/>
        <v>----</v>
      </c>
      <c r="G14" s="478"/>
      <c r="H14" s="490" t="str">
        <f t="shared" si="0"/>
        <v>----</v>
      </c>
      <c r="I14" s="491"/>
      <c r="J14" s="115" t="str">
        <f t="shared" si="1"/>
        <v>----</v>
      </c>
    </row>
    <row r="15" spans="1:10">
      <c r="A15" s="102"/>
      <c r="B15" s="103"/>
      <c r="C15" s="373"/>
      <c r="D15" s="572"/>
      <c r="E15" s="478"/>
      <c r="F15" s="490" t="str">
        <f t="shared" si="2"/>
        <v>----</v>
      </c>
      <c r="G15" s="478"/>
      <c r="H15" s="490" t="str">
        <f t="shared" si="0"/>
        <v>----</v>
      </c>
      <c r="I15" s="491"/>
      <c r="J15" s="115" t="str">
        <f t="shared" si="1"/>
        <v>----</v>
      </c>
    </row>
    <row r="16" spans="1:10">
      <c r="A16" s="102"/>
      <c r="B16" s="103"/>
      <c r="C16" s="373"/>
      <c r="D16" s="572"/>
      <c r="E16" s="478"/>
      <c r="F16" s="490" t="str">
        <f t="shared" si="2"/>
        <v>----</v>
      </c>
      <c r="G16" s="478"/>
      <c r="H16" s="490" t="str">
        <f t="shared" si="0"/>
        <v>----</v>
      </c>
      <c r="I16" s="491"/>
      <c r="J16" s="115" t="str">
        <f t="shared" si="1"/>
        <v>----</v>
      </c>
    </row>
    <row r="17" spans="1:10">
      <c r="A17" s="102"/>
      <c r="B17" s="103"/>
      <c r="C17" s="373"/>
      <c r="D17" s="572"/>
      <c r="E17" s="478"/>
      <c r="F17" s="490" t="str">
        <f t="shared" si="2"/>
        <v>----</v>
      </c>
      <c r="G17" s="478"/>
      <c r="H17" s="490" t="str">
        <f t="shared" si="0"/>
        <v>----</v>
      </c>
      <c r="I17" s="491"/>
      <c r="J17" s="115" t="str">
        <f t="shared" si="1"/>
        <v>----</v>
      </c>
    </row>
    <row r="18" spans="1:10">
      <c r="A18" s="102"/>
      <c r="B18" s="103"/>
      <c r="C18" s="373"/>
      <c r="D18" s="572"/>
      <c r="E18" s="478"/>
      <c r="F18" s="490" t="str">
        <f t="shared" si="2"/>
        <v>----</v>
      </c>
      <c r="G18" s="478"/>
      <c r="H18" s="490" t="str">
        <f t="shared" si="0"/>
        <v>----</v>
      </c>
      <c r="I18" s="491"/>
      <c r="J18" s="115" t="str">
        <f t="shared" si="1"/>
        <v>----</v>
      </c>
    </row>
    <row r="19" spans="1:10">
      <c r="A19" s="102"/>
      <c r="B19" s="103"/>
      <c r="C19" s="373"/>
      <c r="D19" s="572"/>
      <c r="E19" s="478"/>
      <c r="F19" s="490" t="str">
        <f t="shared" si="2"/>
        <v>----</v>
      </c>
      <c r="G19" s="478"/>
      <c r="H19" s="490" t="str">
        <f t="shared" si="0"/>
        <v>----</v>
      </c>
      <c r="I19" s="491"/>
      <c r="J19" s="115" t="str">
        <f t="shared" si="1"/>
        <v>----</v>
      </c>
    </row>
    <row r="20" spans="1:10">
      <c r="A20" s="102"/>
      <c r="B20" s="103"/>
      <c r="C20" s="373"/>
      <c r="D20" s="572"/>
      <c r="E20" s="478"/>
      <c r="F20" s="490" t="str">
        <f t="shared" si="2"/>
        <v>----</v>
      </c>
      <c r="G20" s="478"/>
      <c r="H20" s="490" t="str">
        <f t="shared" si="0"/>
        <v>----</v>
      </c>
      <c r="I20" s="491"/>
      <c r="J20" s="115" t="str">
        <f t="shared" si="1"/>
        <v>----</v>
      </c>
    </row>
    <row r="21" spans="1:10">
      <c r="A21" s="102"/>
      <c r="B21" s="103"/>
      <c r="C21" s="373"/>
      <c r="D21" s="572"/>
      <c r="E21" s="478"/>
      <c r="F21" s="490" t="str">
        <f t="shared" si="2"/>
        <v>----</v>
      </c>
      <c r="G21" s="478"/>
      <c r="H21" s="490" t="str">
        <f t="shared" si="0"/>
        <v>----</v>
      </c>
      <c r="I21" s="491"/>
      <c r="J21" s="115" t="str">
        <f t="shared" si="1"/>
        <v>----</v>
      </c>
    </row>
    <row r="22" spans="1:10">
      <c r="A22" s="116"/>
      <c r="B22" s="117"/>
      <c r="C22" s="617"/>
      <c r="D22" s="618"/>
      <c r="E22" s="479"/>
      <c r="F22" s="492" t="str">
        <f t="shared" si="2"/>
        <v>----</v>
      </c>
      <c r="G22" s="479"/>
      <c r="H22" s="492" t="str">
        <f t="shared" si="0"/>
        <v>----</v>
      </c>
      <c r="I22" s="493"/>
      <c r="J22" s="119" t="str">
        <f t="shared" si="1"/>
        <v>----</v>
      </c>
    </row>
    <row r="23" spans="1:10" ht="15.75" thickBot="1">
      <c r="A23" s="74"/>
      <c r="B23" s="75"/>
      <c r="C23" s="376"/>
      <c r="D23" s="536"/>
      <c r="E23" s="480"/>
      <c r="F23" s="481" t="str">
        <f t="shared" si="2"/>
        <v>----</v>
      </c>
      <c r="G23" s="480"/>
      <c r="H23" s="481" t="str">
        <f t="shared" si="0"/>
        <v>----</v>
      </c>
      <c r="I23" s="486"/>
      <c r="J23" s="77" t="str">
        <f t="shared" si="1"/>
        <v>----</v>
      </c>
    </row>
    <row r="24" spans="1:10" ht="15.75" thickBot="1">
      <c r="A24" s="27"/>
      <c r="B24" s="27"/>
      <c r="C24" s="28"/>
      <c r="D24" s="28"/>
      <c r="E24" s="444"/>
      <c r="F24" s="446">
        <f>SUM(F4:F23)</f>
        <v>1820.8500000000349</v>
      </c>
      <c r="G24" s="444"/>
      <c r="H24" s="446">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7" bestFit="1" customWidth="1"/>
    <col min="6" max="6" width="13" style="437" customWidth="1"/>
    <col min="7" max="7" width="10.140625" style="437" bestFit="1" customWidth="1"/>
    <col min="8" max="8" width="13" style="437" customWidth="1"/>
    <col min="9" max="9" width="10.140625" bestFit="1" customWidth="1"/>
    <col min="10" max="10" width="13" customWidth="1"/>
  </cols>
  <sheetData>
    <row r="1" spans="1:11" ht="15.75" thickBot="1">
      <c r="A1" s="932" t="s">
        <v>150</v>
      </c>
      <c r="B1" s="933"/>
      <c r="C1" s="933"/>
      <c r="D1" s="933"/>
      <c r="E1" s="933"/>
      <c r="F1" s="933"/>
      <c r="G1" s="933"/>
      <c r="H1" s="933"/>
      <c r="I1" s="933"/>
      <c r="J1" s="934"/>
    </row>
    <row r="2" spans="1:11" s="437" customFormat="1" ht="15" customHeight="1">
      <c r="A2" s="939" t="s">
        <v>110</v>
      </c>
      <c r="B2" s="941" t="s">
        <v>111</v>
      </c>
      <c r="C2" s="941" t="s">
        <v>112</v>
      </c>
      <c r="D2" s="943" t="s">
        <v>120</v>
      </c>
      <c r="E2" s="937" t="s">
        <v>702</v>
      </c>
      <c r="F2" s="938"/>
      <c r="G2" s="937" t="s">
        <v>703</v>
      </c>
      <c r="H2" s="938"/>
      <c r="I2" s="912" t="s">
        <v>801</v>
      </c>
      <c r="J2" s="913"/>
    </row>
    <row r="3" spans="1:11" ht="46.5" thickBot="1">
      <c r="A3" s="940"/>
      <c r="B3" s="942"/>
      <c r="C3" s="942"/>
      <c r="D3" s="944"/>
      <c r="E3" s="465" t="s">
        <v>121</v>
      </c>
      <c r="F3" s="473" t="s">
        <v>705</v>
      </c>
      <c r="G3" s="465" t="s">
        <v>121</v>
      </c>
      <c r="H3" s="473" t="s">
        <v>705</v>
      </c>
      <c r="I3" s="483" t="s">
        <v>121</v>
      </c>
      <c r="J3" s="25" t="s">
        <v>705</v>
      </c>
    </row>
    <row r="4" spans="1:11">
      <c r="A4" s="70">
        <v>43816</v>
      </c>
      <c r="B4" s="71" t="s">
        <v>171</v>
      </c>
      <c r="C4" s="72">
        <v>420135.7</v>
      </c>
      <c r="D4" s="434">
        <f>C4</f>
        <v>420135.7</v>
      </c>
      <c r="E4" s="474">
        <v>421970.31</v>
      </c>
      <c r="F4" s="475">
        <f>IF(ISBLANK(E4),"----",E4-$D4)</f>
        <v>1834.609999999986</v>
      </c>
      <c r="G4" s="474" t="s">
        <v>704</v>
      </c>
      <c r="H4" s="475" t="str">
        <f t="shared" ref="H4:H22" si="0">IF(OR(G4="Complete",ISBLANK(G4)),"----",G4-$D4)</f>
        <v>----</v>
      </c>
      <c r="I4" s="484" t="s">
        <v>704</v>
      </c>
      <c r="J4" s="73" t="str">
        <f t="shared" ref="J4:J22" si="1">IF(OR(I4="Complete",ISBLANK(I4)),"----",I4-$D4)</f>
        <v>----</v>
      </c>
    </row>
    <row r="5" spans="1:11">
      <c r="A5" s="88">
        <v>44216</v>
      </c>
      <c r="B5" s="101" t="s">
        <v>369</v>
      </c>
      <c r="C5" s="82">
        <v>726545.05</v>
      </c>
      <c r="D5" s="436">
        <v>300509.05</v>
      </c>
      <c r="E5" s="476">
        <v>293172.01</v>
      </c>
      <c r="F5" s="492">
        <f t="shared" ref="F5:F22" si="2">IF(ISBLANK(E5),"----",E5-$D5)</f>
        <v>-7337.039999999979</v>
      </c>
      <c r="G5" s="476" t="s">
        <v>704</v>
      </c>
      <c r="H5" s="492" t="str">
        <f t="shared" si="0"/>
        <v>----</v>
      </c>
      <c r="I5" s="489" t="s">
        <v>704</v>
      </c>
      <c r="J5" s="119" t="str">
        <f t="shared" si="1"/>
        <v>----</v>
      </c>
    </row>
    <row r="6" spans="1:11">
      <c r="A6" s="207">
        <v>44271</v>
      </c>
      <c r="B6" s="208" t="s">
        <v>404</v>
      </c>
      <c r="C6" s="209">
        <v>1049203.5</v>
      </c>
      <c r="D6" s="505">
        <v>918115.5</v>
      </c>
      <c r="E6" s="509"/>
      <c r="F6" s="497" t="str">
        <f t="shared" si="2"/>
        <v>----</v>
      </c>
      <c r="G6" s="509"/>
      <c r="H6" s="497" t="str">
        <f t="shared" si="0"/>
        <v>----</v>
      </c>
      <c r="I6" s="507"/>
      <c r="J6" s="197" t="str">
        <f t="shared" si="1"/>
        <v>----</v>
      </c>
      <c r="K6" t="s">
        <v>415</v>
      </c>
    </row>
    <row r="7" spans="1:11">
      <c r="A7" s="219">
        <v>44397</v>
      </c>
      <c r="B7" s="220" t="s">
        <v>434</v>
      </c>
      <c r="C7" s="221">
        <f>164988.83/2</f>
        <v>82494.414999999994</v>
      </c>
      <c r="D7" s="506">
        <f>C7</f>
        <v>82494.414999999994</v>
      </c>
      <c r="E7" s="510">
        <v>75833.789999999994</v>
      </c>
      <c r="F7" s="511">
        <f t="shared" si="2"/>
        <v>-6660.625</v>
      </c>
      <c r="G7" s="510" t="s">
        <v>704</v>
      </c>
      <c r="H7" s="511" t="str">
        <f t="shared" si="0"/>
        <v>----</v>
      </c>
      <c r="I7" s="508" t="s">
        <v>704</v>
      </c>
      <c r="J7" s="222" t="str">
        <f t="shared" si="1"/>
        <v>----</v>
      </c>
      <c r="K7" t="s">
        <v>435</v>
      </c>
    </row>
    <row r="8" spans="1:11">
      <c r="A8" s="102">
        <v>44397</v>
      </c>
      <c r="B8" s="103" t="s">
        <v>404</v>
      </c>
      <c r="C8" s="87">
        <v>594321.75</v>
      </c>
      <c r="D8" s="471">
        <v>463233.75</v>
      </c>
      <c r="E8" s="478"/>
      <c r="F8" s="492" t="str">
        <f t="shared" si="2"/>
        <v>----</v>
      </c>
      <c r="G8" s="478"/>
      <c r="H8" s="492" t="str">
        <f t="shared" si="0"/>
        <v>----</v>
      </c>
      <c r="I8" s="491"/>
      <c r="J8" s="119" t="str">
        <f t="shared" si="1"/>
        <v>----</v>
      </c>
      <c r="K8" t="s">
        <v>437</v>
      </c>
    </row>
    <row r="9" spans="1:11">
      <c r="A9" s="102">
        <v>44551</v>
      </c>
      <c r="B9" s="258" t="s">
        <v>475</v>
      </c>
      <c r="C9" s="87">
        <v>618842.94999999995</v>
      </c>
      <c r="D9" s="471">
        <f>C9</f>
        <v>618842.94999999995</v>
      </c>
      <c r="E9" s="478">
        <v>625786.5</v>
      </c>
      <c r="F9" s="492">
        <f t="shared" si="2"/>
        <v>6943.5500000000466</v>
      </c>
      <c r="G9" s="478" t="s">
        <v>704</v>
      </c>
      <c r="H9" s="492" t="str">
        <f t="shared" si="0"/>
        <v>----</v>
      </c>
      <c r="I9" s="491" t="s">
        <v>704</v>
      </c>
      <c r="J9" s="119" t="str">
        <f t="shared" si="1"/>
        <v>----</v>
      </c>
    </row>
    <row r="10" spans="1:11">
      <c r="A10" s="102">
        <v>44551</v>
      </c>
      <c r="B10" s="258" t="s">
        <v>476</v>
      </c>
      <c r="C10" s="87">
        <v>453760.95</v>
      </c>
      <c r="D10" s="471">
        <f>C10</f>
        <v>453760.95</v>
      </c>
      <c r="E10" s="478">
        <v>451941.38</v>
      </c>
      <c r="F10" s="492">
        <f t="shared" si="2"/>
        <v>-1819.570000000007</v>
      </c>
      <c r="G10" s="478" t="s">
        <v>704</v>
      </c>
      <c r="H10" s="492" t="str">
        <f t="shared" si="0"/>
        <v>----</v>
      </c>
      <c r="I10" s="491" t="s">
        <v>704</v>
      </c>
      <c r="J10" s="119" t="str">
        <f t="shared" si="1"/>
        <v>----</v>
      </c>
    </row>
    <row r="11" spans="1:11">
      <c r="A11" s="102">
        <v>45279</v>
      </c>
      <c r="B11" s="103" t="s">
        <v>689</v>
      </c>
      <c r="C11" s="87">
        <v>1217493.2</v>
      </c>
      <c r="D11" s="471">
        <f>C11</f>
        <v>1217493.2</v>
      </c>
      <c r="E11" s="478"/>
      <c r="F11" s="492" t="str">
        <f t="shared" si="2"/>
        <v>----</v>
      </c>
      <c r="G11" s="478"/>
      <c r="H11" s="492" t="str">
        <f t="shared" si="0"/>
        <v>----</v>
      </c>
      <c r="I11" s="491"/>
      <c r="J11" s="119" t="str">
        <f t="shared" si="1"/>
        <v>----</v>
      </c>
    </row>
    <row r="12" spans="1:11">
      <c r="A12" s="102">
        <v>45279</v>
      </c>
      <c r="B12" s="103" t="s">
        <v>690</v>
      </c>
      <c r="C12" s="87">
        <v>614061.65</v>
      </c>
      <c r="D12" s="471">
        <f>C12</f>
        <v>614061.65</v>
      </c>
      <c r="E12" s="478"/>
      <c r="F12" s="492" t="str">
        <f t="shared" si="2"/>
        <v>----</v>
      </c>
      <c r="G12" s="478"/>
      <c r="H12" s="492" t="str">
        <f t="shared" si="0"/>
        <v>----</v>
      </c>
      <c r="I12" s="491"/>
      <c r="J12" s="119" t="str">
        <f t="shared" si="1"/>
        <v>----</v>
      </c>
    </row>
    <row r="13" spans="1:11">
      <c r="A13" s="102"/>
      <c r="B13" s="103"/>
      <c r="C13" s="87"/>
      <c r="D13" s="471"/>
      <c r="E13" s="478"/>
      <c r="F13" s="492" t="str">
        <f t="shared" si="2"/>
        <v>----</v>
      </c>
      <c r="G13" s="478"/>
      <c r="H13" s="492" t="str">
        <f t="shared" si="0"/>
        <v>----</v>
      </c>
      <c r="I13" s="491"/>
      <c r="J13" s="119" t="str">
        <f t="shared" si="1"/>
        <v>----</v>
      </c>
    </row>
    <row r="14" spans="1:11">
      <c r="A14" s="102"/>
      <c r="B14" s="103"/>
      <c r="C14" s="87"/>
      <c r="D14" s="471"/>
      <c r="E14" s="478"/>
      <c r="F14" s="492" t="str">
        <f t="shared" si="2"/>
        <v>----</v>
      </c>
      <c r="G14" s="478"/>
      <c r="H14" s="492" t="str">
        <f t="shared" si="0"/>
        <v>----</v>
      </c>
      <c r="I14" s="491"/>
      <c r="J14" s="119" t="str">
        <f t="shared" si="1"/>
        <v>----</v>
      </c>
    </row>
    <row r="15" spans="1:11">
      <c r="A15" s="102"/>
      <c r="B15" s="103"/>
      <c r="C15" s="87"/>
      <c r="D15" s="471"/>
      <c r="E15" s="478"/>
      <c r="F15" s="492" t="str">
        <f t="shared" si="2"/>
        <v>----</v>
      </c>
      <c r="G15" s="478"/>
      <c r="H15" s="492" t="str">
        <f t="shared" si="0"/>
        <v>----</v>
      </c>
      <c r="I15" s="491"/>
      <c r="J15" s="119" t="str">
        <f t="shared" si="1"/>
        <v>----</v>
      </c>
    </row>
    <row r="16" spans="1:11">
      <c r="A16" s="102"/>
      <c r="B16" s="103"/>
      <c r="C16" s="87"/>
      <c r="D16" s="471"/>
      <c r="E16" s="478"/>
      <c r="F16" s="492" t="str">
        <f t="shared" si="2"/>
        <v>----</v>
      </c>
      <c r="G16" s="478"/>
      <c r="H16" s="492" t="str">
        <f t="shared" si="0"/>
        <v>----</v>
      </c>
      <c r="I16" s="491"/>
      <c r="J16" s="119" t="str">
        <f t="shared" si="1"/>
        <v>----</v>
      </c>
    </row>
    <row r="17" spans="1:10">
      <c r="A17" s="102"/>
      <c r="B17" s="103"/>
      <c r="C17" s="87"/>
      <c r="D17" s="471"/>
      <c r="E17" s="478"/>
      <c r="F17" s="492" t="str">
        <f t="shared" si="2"/>
        <v>----</v>
      </c>
      <c r="G17" s="478"/>
      <c r="H17" s="492" t="str">
        <f t="shared" si="0"/>
        <v>----</v>
      </c>
      <c r="I17" s="491"/>
      <c r="J17" s="119" t="str">
        <f t="shared" si="1"/>
        <v>----</v>
      </c>
    </row>
    <row r="18" spans="1:10">
      <c r="A18" s="102"/>
      <c r="B18" s="103"/>
      <c r="C18" s="87"/>
      <c r="D18" s="471"/>
      <c r="E18" s="478"/>
      <c r="F18" s="492" t="str">
        <f t="shared" si="2"/>
        <v>----</v>
      </c>
      <c r="G18" s="478"/>
      <c r="H18" s="492" t="str">
        <f t="shared" si="0"/>
        <v>----</v>
      </c>
      <c r="I18" s="491"/>
      <c r="J18" s="119" t="str">
        <f t="shared" si="1"/>
        <v>----</v>
      </c>
    </row>
    <row r="19" spans="1:10">
      <c r="A19" s="102"/>
      <c r="B19" s="103"/>
      <c r="C19" s="87"/>
      <c r="D19" s="471"/>
      <c r="E19" s="478"/>
      <c r="F19" s="492" t="str">
        <f t="shared" si="2"/>
        <v>----</v>
      </c>
      <c r="G19" s="478"/>
      <c r="H19" s="492" t="str">
        <f t="shared" si="0"/>
        <v>----</v>
      </c>
      <c r="I19" s="491"/>
      <c r="J19" s="119" t="str">
        <f t="shared" si="1"/>
        <v>----</v>
      </c>
    </row>
    <row r="20" spans="1:10">
      <c r="A20" s="102"/>
      <c r="B20" s="103"/>
      <c r="C20" s="87"/>
      <c r="D20" s="471"/>
      <c r="E20" s="478"/>
      <c r="F20" s="492" t="str">
        <f t="shared" si="2"/>
        <v>----</v>
      </c>
      <c r="G20" s="478"/>
      <c r="H20" s="492" t="str">
        <f t="shared" si="0"/>
        <v>----</v>
      </c>
      <c r="I20" s="491"/>
      <c r="J20" s="119" t="str">
        <f t="shared" si="1"/>
        <v>----</v>
      </c>
    </row>
    <row r="21" spans="1:10">
      <c r="A21" s="116"/>
      <c r="B21" s="117"/>
      <c r="C21" s="118"/>
      <c r="D21" s="472"/>
      <c r="E21" s="479"/>
      <c r="F21" s="492" t="str">
        <f t="shared" si="2"/>
        <v>----</v>
      </c>
      <c r="G21" s="479"/>
      <c r="H21" s="492" t="str">
        <f t="shared" si="0"/>
        <v>----</v>
      </c>
      <c r="I21" s="493"/>
      <c r="J21" s="119" t="str">
        <f t="shared" si="1"/>
        <v>----</v>
      </c>
    </row>
    <row r="22" spans="1:10" ht="15.75" thickBot="1">
      <c r="A22" s="74"/>
      <c r="B22" s="75"/>
      <c r="C22" s="76"/>
      <c r="D22" s="435"/>
      <c r="E22" s="480"/>
      <c r="F22" s="481" t="str">
        <f t="shared" si="2"/>
        <v>----</v>
      </c>
      <c r="G22" s="480"/>
      <c r="H22" s="481" t="str">
        <f t="shared" si="0"/>
        <v>----</v>
      </c>
      <c r="I22" s="486"/>
      <c r="J22" s="77" t="str">
        <f t="shared" si="1"/>
        <v>----</v>
      </c>
    </row>
    <row r="23" spans="1:10" ht="15.75" thickBot="1">
      <c r="A23" s="27"/>
      <c r="B23" s="27"/>
      <c r="C23" s="28"/>
      <c r="D23" s="28"/>
      <c r="E23" s="444"/>
      <c r="F23" s="446">
        <f>SUM(F4:F22)</f>
        <v>-7039.0749999999534</v>
      </c>
      <c r="G23" s="444"/>
      <c r="H23" s="446">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7"/>
    <col min="6" max="6" width="11.5703125" style="437" customWidth="1"/>
    <col min="7" max="7" width="9.140625" style="437"/>
    <col min="8" max="8" width="11.5703125" style="437" customWidth="1"/>
    <col min="10" max="10" width="11.5703125" customWidth="1"/>
  </cols>
  <sheetData>
    <row r="1" spans="1:10" ht="15.75" thickBot="1">
      <c r="A1" s="932" t="s">
        <v>135</v>
      </c>
      <c r="B1" s="933"/>
      <c r="C1" s="933"/>
      <c r="D1" s="933"/>
      <c r="E1" s="933"/>
      <c r="F1" s="933"/>
      <c r="G1" s="933"/>
      <c r="H1" s="933"/>
      <c r="I1" s="933"/>
      <c r="J1" s="934"/>
    </row>
    <row r="2" spans="1:10" s="437" customFormat="1" ht="15" customHeigh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43788</v>
      </c>
      <c r="B4" s="71" t="s">
        <v>149</v>
      </c>
      <c r="C4" s="798">
        <v>152983.35</v>
      </c>
      <c r="D4" s="805">
        <v>122386.68</v>
      </c>
      <c r="E4" s="812"/>
      <c r="F4" s="821" t="str">
        <f>IF(ISBLANK(E4),"----",E4-$D4)</f>
        <v>----</v>
      </c>
      <c r="G4" s="812"/>
      <c r="H4" s="821" t="str">
        <f t="shared" ref="H4:H17" si="0">IF(OR(G4="Complete",ISBLANK(G4)),"----",G4-$D4)</f>
        <v>----</v>
      </c>
      <c r="I4" s="809"/>
      <c r="J4" s="822" t="str">
        <f t="shared" ref="J4:J17" si="1">IF(OR(I4="Complete",ISBLANK(I4)),"----",I4-$D4)</f>
        <v>----</v>
      </c>
    </row>
    <row r="5" spans="1:10" s="437" customFormat="1">
      <c r="A5" s="452">
        <v>45679</v>
      </c>
      <c r="B5" s="714" t="s">
        <v>833</v>
      </c>
      <c r="C5" s="801">
        <v>609788.25</v>
      </c>
      <c r="D5" s="806">
        <f>C5</f>
        <v>609788.25</v>
      </c>
      <c r="E5" s="813"/>
      <c r="F5" s="825" t="str">
        <f t="shared" ref="F5:F15" si="2">IF(ISBLANK(E5),"----",E5-$D5)</f>
        <v>----</v>
      </c>
      <c r="G5" s="813"/>
      <c r="H5" s="825" t="str">
        <f t="shared" si="0"/>
        <v>----</v>
      </c>
      <c r="I5" s="810"/>
      <c r="J5" s="826" t="str">
        <f t="shared" si="1"/>
        <v>----</v>
      </c>
    </row>
    <row r="6" spans="1:10" s="437" customFormat="1">
      <c r="A6" s="454"/>
      <c r="B6" s="455"/>
      <c r="C6" s="787"/>
      <c r="D6" s="746"/>
      <c r="E6" s="756"/>
      <c r="F6" s="788" t="str">
        <f t="shared" si="2"/>
        <v>----</v>
      </c>
      <c r="G6" s="756"/>
      <c r="H6" s="788" t="str">
        <f t="shared" si="0"/>
        <v>----</v>
      </c>
      <c r="I6" s="751"/>
      <c r="J6" s="789" t="str">
        <f t="shared" si="1"/>
        <v>----</v>
      </c>
    </row>
    <row r="7" spans="1:10" s="437" customFormat="1">
      <c r="A7" s="454"/>
      <c r="B7" s="455"/>
      <c r="C7" s="787"/>
      <c r="D7" s="746"/>
      <c r="E7" s="756"/>
      <c r="F7" s="788" t="str">
        <f t="shared" si="2"/>
        <v>----</v>
      </c>
      <c r="G7" s="756"/>
      <c r="H7" s="788" t="str">
        <f t="shared" si="0"/>
        <v>----</v>
      </c>
      <c r="I7" s="751"/>
      <c r="J7" s="789" t="str">
        <f t="shared" si="1"/>
        <v>----</v>
      </c>
    </row>
    <row r="8" spans="1:10" s="437" customFormat="1">
      <c r="A8" s="454"/>
      <c r="B8" s="455"/>
      <c r="C8" s="787"/>
      <c r="D8" s="746"/>
      <c r="E8" s="756"/>
      <c r="F8" s="788" t="str">
        <f t="shared" si="2"/>
        <v>----</v>
      </c>
      <c r="G8" s="756"/>
      <c r="H8" s="788" t="str">
        <f t="shared" si="0"/>
        <v>----</v>
      </c>
      <c r="I8" s="751"/>
      <c r="J8" s="789" t="str">
        <f t="shared" si="1"/>
        <v>----</v>
      </c>
    </row>
    <row r="9" spans="1:10" s="437" customFormat="1">
      <c r="A9" s="454"/>
      <c r="B9" s="455"/>
      <c r="C9" s="787"/>
      <c r="D9" s="746"/>
      <c r="E9" s="756"/>
      <c r="F9" s="788" t="str">
        <f t="shared" si="2"/>
        <v>----</v>
      </c>
      <c r="G9" s="756"/>
      <c r="H9" s="788" t="str">
        <f t="shared" si="0"/>
        <v>----</v>
      </c>
      <c r="I9" s="751"/>
      <c r="J9" s="789" t="str">
        <f t="shared" si="1"/>
        <v>----</v>
      </c>
    </row>
    <row r="10" spans="1:10" s="437" customFormat="1">
      <c r="A10" s="454"/>
      <c r="B10" s="455"/>
      <c r="C10" s="787"/>
      <c r="D10" s="746"/>
      <c r="E10" s="756"/>
      <c r="F10" s="788" t="str">
        <f t="shared" si="2"/>
        <v>----</v>
      </c>
      <c r="G10" s="756"/>
      <c r="H10" s="788" t="str">
        <f t="shared" si="0"/>
        <v>----</v>
      </c>
      <c r="I10" s="751"/>
      <c r="J10" s="789" t="str">
        <f t="shared" si="1"/>
        <v>----</v>
      </c>
    </row>
    <row r="11" spans="1:10" s="437" customFormat="1">
      <c r="A11" s="454"/>
      <c r="B11" s="455"/>
      <c r="C11" s="787"/>
      <c r="D11" s="746"/>
      <c r="E11" s="756"/>
      <c r="F11" s="788" t="str">
        <f t="shared" si="2"/>
        <v>----</v>
      </c>
      <c r="G11" s="756"/>
      <c r="H11" s="788" t="str">
        <f t="shared" si="0"/>
        <v>----</v>
      </c>
      <c r="I11" s="751"/>
      <c r="J11" s="789" t="str">
        <f t="shared" si="1"/>
        <v>----</v>
      </c>
    </row>
    <row r="12" spans="1:10" s="437" customFormat="1">
      <c r="A12" s="454"/>
      <c r="B12" s="455"/>
      <c r="C12" s="787"/>
      <c r="D12" s="746"/>
      <c r="E12" s="756"/>
      <c r="F12" s="788" t="str">
        <f t="shared" si="2"/>
        <v>----</v>
      </c>
      <c r="G12" s="756"/>
      <c r="H12" s="788" t="str">
        <f t="shared" si="0"/>
        <v>----</v>
      </c>
      <c r="I12" s="751"/>
      <c r="J12" s="789" t="str">
        <f t="shared" si="1"/>
        <v>----</v>
      </c>
    </row>
    <row r="13" spans="1:10" s="437" customFormat="1">
      <c r="A13" s="454"/>
      <c r="B13" s="455"/>
      <c r="C13" s="787"/>
      <c r="D13" s="746"/>
      <c r="E13" s="756"/>
      <c r="F13" s="788" t="str">
        <f t="shared" si="2"/>
        <v>----</v>
      </c>
      <c r="G13" s="756"/>
      <c r="H13" s="788" t="str">
        <f t="shared" si="0"/>
        <v>----</v>
      </c>
      <c r="I13" s="751"/>
      <c r="J13" s="789" t="str">
        <f t="shared" si="1"/>
        <v>----</v>
      </c>
    </row>
    <row r="14" spans="1:10" s="437" customFormat="1">
      <c r="A14" s="454"/>
      <c r="B14" s="455"/>
      <c r="C14" s="787"/>
      <c r="D14" s="746"/>
      <c r="E14" s="756"/>
      <c r="F14" s="788" t="str">
        <f t="shared" si="2"/>
        <v>----</v>
      </c>
      <c r="G14" s="756"/>
      <c r="H14" s="788" t="str">
        <f t="shared" si="0"/>
        <v>----</v>
      </c>
      <c r="I14" s="751"/>
      <c r="J14" s="789" t="str">
        <f t="shared" si="1"/>
        <v>----</v>
      </c>
    </row>
    <row r="15" spans="1:10" s="437" customFormat="1">
      <c r="A15" s="454"/>
      <c r="B15" s="455"/>
      <c r="C15" s="787"/>
      <c r="D15" s="746"/>
      <c r="E15" s="756"/>
      <c r="F15" s="788" t="str">
        <f t="shared" si="2"/>
        <v>----</v>
      </c>
      <c r="G15" s="756"/>
      <c r="H15" s="788" t="str">
        <f t="shared" si="0"/>
        <v>----</v>
      </c>
      <c r="I15" s="751"/>
      <c r="J15" s="789" t="str">
        <f t="shared" si="1"/>
        <v>----</v>
      </c>
    </row>
    <row r="16" spans="1:10">
      <c r="A16" s="457"/>
      <c r="B16" s="458"/>
      <c r="C16" s="790"/>
      <c r="D16" s="807"/>
      <c r="E16" s="757"/>
      <c r="F16" s="791" t="str">
        <f t="shared" ref="F16:F17" si="3">IF(ISBLANK(E16),"----",E16-$D16)</f>
        <v>----</v>
      </c>
      <c r="G16" s="757"/>
      <c r="H16" s="791" t="str">
        <f t="shared" si="0"/>
        <v>----</v>
      </c>
      <c r="I16" s="752"/>
      <c r="J16" s="792" t="str">
        <f t="shared" si="1"/>
        <v>----</v>
      </c>
    </row>
    <row r="17" spans="1:10" ht="15.75" thickBot="1">
      <c r="A17" s="74"/>
      <c r="B17" s="75"/>
      <c r="C17" s="800"/>
      <c r="D17" s="808"/>
      <c r="E17" s="814"/>
      <c r="F17" s="819" t="str">
        <f t="shared" si="3"/>
        <v>----</v>
      </c>
      <c r="G17" s="814"/>
      <c r="H17" s="819" t="str">
        <f t="shared" si="0"/>
        <v>----</v>
      </c>
      <c r="I17" s="811"/>
      <c r="J17" s="820" t="str">
        <f t="shared" si="1"/>
        <v>----</v>
      </c>
    </row>
    <row r="18" spans="1:10" ht="15.75" thickBot="1">
      <c r="A18" s="27"/>
      <c r="B18" s="27"/>
      <c r="C18" s="832"/>
      <c r="D18" s="832"/>
      <c r="E18" s="832"/>
      <c r="F18" s="833">
        <f>SUM(F4:F17)</f>
        <v>0</v>
      </c>
      <c r="G18" s="832"/>
      <c r="H18" s="833">
        <f>SUM(H4:H17)</f>
        <v>0</v>
      </c>
      <c r="I18" s="832"/>
      <c r="J18" s="833">
        <f>SUM(J4:J17)</f>
        <v>0</v>
      </c>
    </row>
    <row r="19" spans="1:10">
      <c r="A19" s="17"/>
      <c r="B19" s="17"/>
      <c r="C19" s="440"/>
      <c r="D19" s="440"/>
      <c r="E19" s="440"/>
      <c r="F19" s="440"/>
      <c r="G19" s="440"/>
      <c r="H19" s="440"/>
      <c r="I19" s="440"/>
      <c r="J19" s="44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7"/>
  </cols>
  <sheetData>
    <row r="1" spans="1:10" ht="15.75" thickBot="1">
      <c r="A1" s="932" t="s">
        <v>249</v>
      </c>
      <c r="B1" s="933"/>
      <c r="C1" s="933"/>
      <c r="D1" s="933"/>
      <c r="E1" s="933"/>
      <c r="F1" s="933"/>
      <c r="G1" s="933"/>
      <c r="H1" s="933"/>
      <c r="I1" s="933"/>
      <c r="J1" s="934"/>
    </row>
    <row r="2" spans="1:10" s="437" customFormat="1" ht="15" customHeight="1">
      <c r="A2" s="939" t="s">
        <v>110</v>
      </c>
      <c r="B2" s="941" t="s">
        <v>111</v>
      </c>
      <c r="C2" s="941" t="s">
        <v>112</v>
      </c>
      <c r="D2" s="943" t="s">
        <v>120</v>
      </c>
      <c r="E2" s="937" t="s">
        <v>702</v>
      </c>
      <c r="F2" s="938"/>
      <c r="G2" s="937" t="s">
        <v>703</v>
      </c>
      <c r="H2" s="938"/>
      <c r="I2" s="912" t="s">
        <v>801</v>
      </c>
      <c r="J2" s="913"/>
    </row>
    <row r="3" spans="1:10" ht="69" thickBot="1">
      <c r="A3" s="940"/>
      <c r="B3" s="942"/>
      <c r="C3" s="942"/>
      <c r="D3" s="944"/>
      <c r="E3" s="465" t="s">
        <v>121</v>
      </c>
      <c r="F3" s="473" t="s">
        <v>705</v>
      </c>
      <c r="G3" s="465" t="s">
        <v>121</v>
      </c>
      <c r="H3" s="473" t="s">
        <v>705</v>
      </c>
      <c r="I3" s="483" t="s">
        <v>121</v>
      </c>
      <c r="J3" s="25" t="s">
        <v>705</v>
      </c>
    </row>
    <row r="4" spans="1:10">
      <c r="A4" s="70">
        <v>44789</v>
      </c>
      <c r="B4" s="71" t="s">
        <v>551</v>
      </c>
      <c r="C4" s="72">
        <v>3233933.45</v>
      </c>
      <c r="D4" s="434">
        <v>799933.45</v>
      </c>
      <c r="E4" s="474"/>
      <c r="F4" s="475" t="str">
        <f>IF(ISBLANK(E4),"----",E4-$D4)</f>
        <v>----</v>
      </c>
      <c r="G4" s="474"/>
      <c r="H4" s="475" t="str">
        <f t="shared" ref="H4:H19" si="0">IF(OR(G4="Complete",ISBLANK(G4)),"----",G4-$D4)</f>
        <v>----</v>
      </c>
      <c r="I4" s="484"/>
      <c r="J4" s="73" t="str">
        <f t="shared" ref="J4:J19" si="1">IF(OR(I4="Complete",ISBLANK(I4)),"----",I4-$D4)</f>
        <v>----</v>
      </c>
    </row>
    <row r="5" spans="1:10">
      <c r="A5" s="88">
        <v>44880</v>
      </c>
      <c r="B5" s="101" t="s">
        <v>585</v>
      </c>
      <c r="C5" s="82">
        <v>919508.1</v>
      </c>
      <c r="D5" s="436">
        <f>C5</f>
        <v>919508.1</v>
      </c>
      <c r="E5" s="476"/>
      <c r="F5" s="477" t="str">
        <f t="shared" ref="F5:F19" si="2">IF(ISBLANK(E5),"----",E5-$D5)</f>
        <v>----</v>
      </c>
      <c r="G5" s="476"/>
      <c r="H5" s="477" t="str">
        <f t="shared" si="0"/>
        <v>----</v>
      </c>
      <c r="I5" s="489"/>
      <c r="J5" s="83" t="str">
        <f t="shared" si="1"/>
        <v>----</v>
      </c>
    </row>
    <row r="6" spans="1:10">
      <c r="A6" s="102"/>
      <c r="B6" s="103"/>
      <c r="C6" s="87"/>
      <c r="D6" s="471"/>
      <c r="E6" s="478"/>
      <c r="F6" s="490" t="str">
        <f t="shared" si="2"/>
        <v>----</v>
      </c>
      <c r="G6" s="478"/>
      <c r="H6" s="490" t="str">
        <f t="shared" si="0"/>
        <v>----</v>
      </c>
      <c r="I6" s="491"/>
      <c r="J6" s="115" t="str">
        <f t="shared" si="1"/>
        <v>----</v>
      </c>
    </row>
    <row r="7" spans="1:10">
      <c r="A7" s="102"/>
      <c r="B7" s="103"/>
      <c r="C7" s="87"/>
      <c r="D7" s="471"/>
      <c r="E7" s="478"/>
      <c r="F7" s="490" t="str">
        <f t="shared" si="2"/>
        <v>----</v>
      </c>
      <c r="G7" s="478"/>
      <c r="H7" s="490" t="str">
        <f t="shared" si="0"/>
        <v>----</v>
      </c>
      <c r="I7" s="491"/>
      <c r="J7" s="115" t="str">
        <f t="shared" si="1"/>
        <v>----</v>
      </c>
    </row>
    <row r="8" spans="1:10">
      <c r="A8" s="102"/>
      <c r="B8" s="103"/>
      <c r="C8" s="87"/>
      <c r="D8" s="471"/>
      <c r="E8" s="478"/>
      <c r="F8" s="490" t="str">
        <f t="shared" si="2"/>
        <v>----</v>
      </c>
      <c r="G8" s="478"/>
      <c r="H8" s="490" t="str">
        <f t="shared" si="0"/>
        <v>----</v>
      </c>
      <c r="I8" s="491"/>
      <c r="J8" s="115" t="str">
        <f t="shared" si="1"/>
        <v>----</v>
      </c>
    </row>
    <row r="9" spans="1:10">
      <c r="A9" s="102"/>
      <c r="B9" s="103"/>
      <c r="C9" s="87"/>
      <c r="D9" s="471"/>
      <c r="E9" s="478"/>
      <c r="F9" s="490" t="str">
        <f t="shared" si="2"/>
        <v>----</v>
      </c>
      <c r="G9" s="478"/>
      <c r="H9" s="490" t="str">
        <f t="shared" si="0"/>
        <v>----</v>
      </c>
      <c r="I9" s="491"/>
      <c r="J9" s="115" t="str">
        <f t="shared" si="1"/>
        <v>----</v>
      </c>
    </row>
    <row r="10" spans="1:10">
      <c r="A10" s="102"/>
      <c r="B10" s="103"/>
      <c r="C10" s="87"/>
      <c r="D10" s="471"/>
      <c r="E10" s="478"/>
      <c r="F10" s="490" t="str">
        <f t="shared" si="2"/>
        <v>----</v>
      </c>
      <c r="G10" s="478"/>
      <c r="H10" s="490" t="str">
        <f t="shared" si="0"/>
        <v>----</v>
      </c>
      <c r="I10" s="491"/>
      <c r="J10" s="115" t="str">
        <f t="shared" si="1"/>
        <v>----</v>
      </c>
    </row>
    <row r="11" spans="1:10">
      <c r="A11" s="102"/>
      <c r="B11" s="103"/>
      <c r="C11" s="87"/>
      <c r="D11" s="471"/>
      <c r="E11" s="478"/>
      <c r="F11" s="490" t="str">
        <f t="shared" si="2"/>
        <v>----</v>
      </c>
      <c r="G11" s="478"/>
      <c r="H11" s="490" t="str">
        <f t="shared" si="0"/>
        <v>----</v>
      </c>
      <c r="I11" s="491"/>
      <c r="J11" s="115" t="str">
        <f t="shared" si="1"/>
        <v>----</v>
      </c>
    </row>
    <row r="12" spans="1:10">
      <c r="A12" s="102"/>
      <c r="B12" s="103"/>
      <c r="C12" s="87"/>
      <c r="D12" s="471"/>
      <c r="E12" s="478"/>
      <c r="F12" s="490" t="str">
        <f t="shared" si="2"/>
        <v>----</v>
      </c>
      <c r="G12" s="478"/>
      <c r="H12" s="490" t="str">
        <f t="shared" si="0"/>
        <v>----</v>
      </c>
      <c r="I12" s="491"/>
      <c r="J12" s="115" t="str">
        <f t="shared" si="1"/>
        <v>----</v>
      </c>
    </row>
    <row r="13" spans="1:10">
      <c r="A13" s="102"/>
      <c r="B13" s="103"/>
      <c r="C13" s="87"/>
      <c r="D13" s="471"/>
      <c r="E13" s="478"/>
      <c r="F13" s="490" t="str">
        <f t="shared" si="2"/>
        <v>----</v>
      </c>
      <c r="G13" s="478"/>
      <c r="H13" s="490" t="str">
        <f t="shared" si="0"/>
        <v>----</v>
      </c>
      <c r="I13" s="491"/>
      <c r="J13" s="115" t="str">
        <f t="shared" si="1"/>
        <v>----</v>
      </c>
    </row>
    <row r="14" spans="1:10">
      <c r="A14" s="102"/>
      <c r="B14" s="103"/>
      <c r="C14" s="87"/>
      <c r="D14" s="471"/>
      <c r="E14" s="478"/>
      <c r="F14" s="490" t="str">
        <f t="shared" si="2"/>
        <v>----</v>
      </c>
      <c r="G14" s="478"/>
      <c r="H14" s="490" t="str">
        <f t="shared" si="0"/>
        <v>----</v>
      </c>
      <c r="I14" s="491"/>
      <c r="J14" s="115" t="str">
        <f t="shared" si="1"/>
        <v>----</v>
      </c>
    </row>
    <row r="15" spans="1:10">
      <c r="A15" s="102"/>
      <c r="B15" s="103"/>
      <c r="C15" s="87"/>
      <c r="D15" s="471"/>
      <c r="E15" s="478"/>
      <c r="F15" s="490" t="str">
        <f t="shared" si="2"/>
        <v>----</v>
      </c>
      <c r="G15" s="478"/>
      <c r="H15" s="490" t="str">
        <f t="shared" si="0"/>
        <v>----</v>
      </c>
      <c r="I15" s="491"/>
      <c r="J15" s="115" t="str">
        <f t="shared" si="1"/>
        <v>----</v>
      </c>
    </row>
    <row r="16" spans="1:10">
      <c r="A16" s="102"/>
      <c r="B16" s="103"/>
      <c r="C16" s="87"/>
      <c r="D16" s="471"/>
      <c r="E16" s="478"/>
      <c r="F16" s="490" t="str">
        <f t="shared" si="2"/>
        <v>----</v>
      </c>
      <c r="G16" s="478"/>
      <c r="H16" s="490" t="str">
        <f t="shared" si="0"/>
        <v>----</v>
      </c>
      <c r="I16" s="491"/>
      <c r="J16" s="115" t="str">
        <f t="shared" si="1"/>
        <v>----</v>
      </c>
    </row>
    <row r="17" spans="1:10">
      <c r="A17" s="102"/>
      <c r="B17" s="103"/>
      <c r="C17" s="87"/>
      <c r="D17" s="471"/>
      <c r="E17" s="478"/>
      <c r="F17" s="490" t="str">
        <f t="shared" si="2"/>
        <v>----</v>
      </c>
      <c r="G17" s="478"/>
      <c r="H17" s="490" t="str">
        <f t="shared" si="0"/>
        <v>----</v>
      </c>
      <c r="I17" s="491"/>
      <c r="J17" s="115" t="str">
        <f t="shared" si="1"/>
        <v>----</v>
      </c>
    </row>
    <row r="18" spans="1:10">
      <c r="A18" s="116"/>
      <c r="B18" s="117"/>
      <c r="C18" s="118"/>
      <c r="D18" s="472"/>
      <c r="E18" s="479"/>
      <c r="F18" s="492" t="str">
        <f t="shared" si="2"/>
        <v>----</v>
      </c>
      <c r="G18" s="479"/>
      <c r="H18" s="492" t="str">
        <f t="shared" si="0"/>
        <v>----</v>
      </c>
      <c r="I18" s="493"/>
      <c r="J18" s="119" t="str">
        <f t="shared" si="1"/>
        <v>----</v>
      </c>
    </row>
    <row r="19" spans="1:10" ht="15.75" thickBot="1">
      <c r="A19" s="74"/>
      <c r="B19" s="75"/>
      <c r="C19" s="76"/>
      <c r="D19" s="435"/>
      <c r="E19" s="480"/>
      <c r="F19" s="481" t="str">
        <f t="shared" si="2"/>
        <v>----</v>
      </c>
      <c r="G19" s="480"/>
      <c r="H19" s="481" t="str">
        <f t="shared" si="0"/>
        <v>----</v>
      </c>
      <c r="I19" s="486"/>
      <c r="J19" s="77" t="str">
        <f t="shared" si="1"/>
        <v>----</v>
      </c>
    </row>
    <row r="20" spans="1:10" ht="15.75" thickBot="1">
      <c r="A20" s="27"/>
      <c r="B20" s="27"/>
      <c r="C20" s="28"/>
      <c r="D20" s="28"/>
      <c r="E20" s="444"/>
      <c r="F20" s="446">
        <f>SUM(F4:F19)</f>
        <v>0</v>
      </c>
      <c r="G20" s="444"/>
      <c r="H20" s="446">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D8" sqref="D8"/>
    </sheetView>
  </sheetViews>
  <sheetFormatPr defaultRowHeight="15"/>
  <cols>
    <col min="2" max="2" width="23.7109375" bestFit="1" customWidth="1"/>
    <col min="3" max="3" width="12" bestFit="1" customWidth="1"/>
    <col min="4" max="4" width="11.5703125" bestFit="1" customWidth="1"/>
    <col min="5" max="5" width="10.7109375" style="437" bestFit="1" customWidth="1"/>
    <col min="6" max="6" width="9.140625" style="437"/>
    <col min="7" max="7" width="10.140625" style="437" bestFit="1" customWidth="1"/>
    <col min="8" max="8" width="9.140625" style="437"/>
    <col min="9" max="9" width="10.140625" bestFit="1" customWidth="1"/>
    <col min="12" max="12" width="13.5703125" bestFit="1" customWidth="1"/>
  </cols>
  <sheetData>
    <row r="1" spans="1:12" ht="15.75" thickBot="1">
      <c r="A1" s="932" t="s">
        <v>250</v>
      </c>
      <c r="B1" s="933"/>
      <c r="C1" s="933"/>
      <c r="D1" s="933"/>
      <c r="E1" s="933"/>
      <c r="F1" s="933"/>
      <c r="G1" s="933"/>
      <c r="H1" s="933"/>
      <c r="I1" s="933"/>
      <c r="J1" s="934"/>
    </row>
    <row r="2" spans="1:12" s="437" customFormat="1">
      <c r="A2" s="939" t="s">
        <v>110</v>
      </c>
      <c r="B2" s="941" t="s">
        <v>111</v>
      </c>
      <c r="C2" s="941" t="s">
        <v>112</v>
      </c>
      <c r="D2" s="943" t="s">
        <v>120</v>
      </c>
      <c r="E2" s="937" t="s">
        <v>702</v>
      </c>
      <c r="F2" s="938"/>
      <c r="G2" s="937" t="s">
        <v>703</v>
      </c>
      <c r="H2" s="938"/>
      <c r="I2" s="912" t="s">
        <v>801</v>
      </c>
      <c r="J2" s="913"/>
    </row>
    <row r="3" spans="1:12" ht="69" thickBot="1">
      <c r="A3" s="940"/>
      <c r="B3" s="942"/>
      <c r="C3" s="942"/>
      <c r="D3" s="944"/>
      <c r="E3" s="465" t="s">
        <v>121</v>
      </c>
      <c r="F3" s="473" t="s">
        <v>113</v>
      </c>
      <c r="G3" s="465" t="s">
        <v>121</v>
      </c>
      <c r="H3" s="473" t="s">
        <v>113</v>
      </c>
      <c r="I3" s="483" t="s">
        <v>121</v>
      </c>
      <c r="J3" s="25" t="s">
        <v>113</v>
      </c>
    </row>
    <row r="4" spans="1:12">
      <c r="A4" s="70">
        <v>44362</v>
      </c>
      <c r="B4" s="71" t="s">
        <v>430</v>
      </c>
      <c r="C4" s="798">
        <v>240757.75</v>
      </c>
      <c r="D4" s="805">
        <f>C4</f>
        <v>240757.75</v>
      </c>
      <c r="E4" s="812">
        <v>241885.75</v>
      </c>
      <c r="F4" s="821">
        <f>IF(ISBLANK(E4),"----",E4-$D4)</f>
        <v>1128</v>
      </c>
      <c r="G4" s="812" t="s">
        <v>704</v>
      </c>
      <c r="H4" s="821" t="str">
        <f t="shared" ref="H4:H17" si="0">IF(OR(G4="Complete",ISBLANK(G4)),"----",G4-$D4)</f>
        <v>----</v>
      </c>
      <c r="I4" s="809" t="s">
        <v>704</v>
      </c>
      <c r="J4" s="822" t="str">
        <f t="shared" ref="J4:J17" si="1">IF(OR(I4="Complete",ISBLANK(I4)),"----",I4-$D4)</f>
        <v>----</v>
      </c>
    </row>
    <row r="5" spans="1:12">
      <c r="A5" s="88">
        <v>44944</v>
      </c>
      <c r="B5" s="101" t="s">
        <v>622</v>
      </c>
      <c r="C5" s="801">
        <v>970630.8</v>
      </c>
      <c r="D5" s="806">
        <f>C5</f>
        <v>970630.8</v>
      </c>
      <c r="E5" s="813"/>
      <c r="F5" s="825" t="str">
        <f t="shared" ref="F5:F17" si="2">IF(ISBLANK(E5),"----",E5-$D5)</f>
        <v>----</v>
      </c>
      <c r="G5" s="813"/>
      <c r="H5" s="825" t="str">
        <f t="shared" si="0"/>
        <v>----</v>
      </c>
      <c r="I5" s="810"/>
      <c r="J5" s="826" t="str">
        <f t="shared" si="1"/>
        <v>----</v>
      </c>
    </row>
    <row r="6" spans="1:12">
      <c r="A6" s="91">
        <v>44944</v>
      </c>
      <c r="B6" s="92" t="s">
        <v>623</v>
      </c>
      <c r="C6" s="799">
        <v>475421.25</v>
      </c>
      <c r="D6" s="815">
        <f>C6</f>
        <v>475421.25</v>
      </c>
      <c r="E6" s="817"/>
      <c r="F6" s="679" t="str">
        <f t="shared" si="2"/>
        <v>----</v>
      </c>
      <c r="G6" s="817"/>
      <c r="H6" s="679" t="str">
        <f t="shared" si="0"/>
        <v>----</v>
      </c>
      <c r="I6" s="816"/>
      <c r="J6" s="680" t="str">
        <f t="shared" si="1"/>
        <v>----</v>
      </c>
    </row>
    <row r="7" spans="1:12">
      <c r="A7" s="88">
        <v>45006</v>
      </c>
      <c r="B7" s="101" t="s">
        <v>640</v>
      </c>
      <c r="C7" s="801">
        <v>2350566.17</v>
      </c>
      <c r="D7" s="806">
        <f>C7-L7</f>
        <v>470113.23399999994</v>
      </c>
      <c r="E7" s="813"/>
      <c r="F7" s="825" t="str">
        <f t="shared" si="2"/>
        <v>----</v>
      </c>
      <c r="G7" s="813"/>
      <c r="H7" s="825" t="str">
        <f t="shared" si="0"/>
        <v>----</v>
      </c>
      <c r="I7" s="810"/>
      <c r="J7" s="826" t="str">
        <f t="shared" si="1"/>
        <v>----</v>
      </c>
      <c r="K7" t="s">
        <v>641</v>
      </c>
      <c r="L7" s="371">
        <f>0.8*C7</f>
        <v>1880452.936</v>
      </c>
    </row>
    <row r="8" spans="1:12">
      <c r="A8" s="950">
        <v>45706</v>
      </c>
      <c r="B8" s="415" t="s">
        <v>834</v>
      </c>
      <c r="C8" s="799">
        <v>370190.5</v>
      </c>
      <c r="D8" s="815">
        <f>C8</f>
        <v>370190.5</v>
      </c>
      <c r="E8" s="817"/>
      <c r="F8" s="679" t="str">
        <f t="shared" si="2"/>
        <v>----</v>
      </c>
      <c r="G8" s="817"/>
      <c r="H8" s="679" t="str">
        <f t="shared" si="0"/>
        <v>----</v>
      </c>
      <c r="I8" s="816"/>
      <c r="J8" s="680" t="str">
        <f t="shared" si="1"/>
        <v>----</v>
      </c>
    </row>
    <row r="9" spans="1:12">
      <c r="A9" s="951"/>
      <c r="B9" s="714" t="s">
        <v>835</v>
      </c>
      <c r="C9" s="801">
        <v>217775</v>
      </c>
      <c r="D9" s="806">
        <f>C9</f>
        <v>217775</v>
      </c>
      <c r="E9" s="813"/>
      <c r="F9" s="825" t="str">
        <f t="shared" si="2"/>
        <v>----</v>
      </c>
      <c r="G9" s="813"/>
      <c r="H9" s="825" t="str">
        <f t="shared" si="0"/>
        <v>----</v>
      </c>
      <c r="I9" s="810"/>
      <c r="J9" s="826" t="str">
        <f t="shared" si="1"/>
        <v>----</v>
      </c>
    </row>
    <row r="10" spans="1:12">
      <c r="A10" s="951"/>
      <c r="B10" s="415" t="s">
        <v>836</v>
      </c>
      <c r="C10" s="799">
        <v>204429.5</v>
      </c>
      <c r="D10" s="815">
        <f>C10</f>
        <v>204429.5</v>
      </c>
      <c r="E10" s="817"/>
      <c r="F10" s="679" t="str">
        <f t="shared" si="2"/>
        <v>----</v>
      </c>
      <c r="G10" s="817"/>
      <c r="H10" s="679" t="str">
        <f t="shared" si="0"/>
        <v>----</v>
      </c>
      <c r="I10" s="816"/>
      <c r="J10" s="680" t="str">
        <f t="shared" si="1"/>
        <v>----</v>
      </c>
    </row>
    <row r="11" spans="1:12">
      <c r="A11" s="952"/>
      <c r="B11" s="714" t="s">
        <v>837</v>
      </c>
      <c r="C11" s="801">
        <v>397726</v>
      </c>
      <c r="D11" s="806">
        <f>C11</f>
        <v>397726</v>
      </c>
      <c r="E11" s="813"/>
      <c r="F11" s="825" t="str">
        <f t="shared" si="2"/>
        <v>----</v>
      </c>
      <c r="G11" s="813"/>
      <c r="H11" s="825" t="str">
        <f t="shared" si="0"/>
        <v>----</v>
      </c>
      <c r="I11" s="810"/>
      <c r="J11" s="826" t="str">
        <f t="shared" si="1"/>
        <v>----</v>
      </c>
    </row>
    <row r="12" spans="1:12">
      <c r="A12" s="91"/>
      <c r="B12" s="92"/>
      <c r="C12" s="799"/>
      <c r="D12" s="815"/>
      <c r="E12" s="817"/>
      <c r="F12" s="679" t="str">
        <f t="shared" si="2"/>
        <v>----</v>
      </c>
      <c r="G12" s="817"/>
      <c r="H12" s="679" t="str">
        <f t="shared" si="0"/>
        <v>----</v>
      </c>
      <c r="I12" s="816"/>
      <c r="J12" s="680" t="str">
        <f t="shared" si="1"/>
        <v>----</v>
      </c>
    </row>
    <row r="13" spans="1:12">
      <c r="A13" s="88"/>
      <c r="B13" s="101"/>
      <c r="C13" s="801"/>
      <c r="D13" s="806"/>
      <c r="E13" s="813"/>
      <c r="F13" s="825" t="str">
        <f t="shared" si="2"/>
        <v>----</v>
      </c>
      <c r="G13" s="813"/>
      <c r="H13" s="825" t="str">
        <f t="shared" si="0"/>
        <v>----</v>
      </c>
      <c r="I13" s="810"/>
      <c r="J13" s="826" t="str">
        <f t="shared" si="1"/>
        <v>----</v>
      </c>
    </row>
    <row r="14" spans="1:12">
      <c r="A14" s="91"/>
      <c r="B14" s="92"/>
      <c r="C14" s="799"/>
      <c r="D14" s="815"/>
      <c r="E14" s="817"/>
      <c r="F14" s="679" t="str">
        <f t="shared" si="2"/>
        <v>----</v>
      </c>
      <c r="G14" s="817"/>
      <c r="H14" s="679" t="str">
        <f t="shared" si="0"/>
        <v>----</v>
      </c>
      <c r="I14" s="816"/>
      <c r="J14" s="680" t="str">
        <f t="shared" si="1"/>
        <v>----</v>
      </c>
    </row>
    <row r="15" spans="1:12">
      <c r="A15" s="88"/>
      <c r="B15" s="101"/>
      <c r="C15" s="801"/>
      <c r="D15" s="806"/>
      <c r="E15" s="813"/>
      <c r="F15" s="825" t="str">
        <f t="shared" si="2"/>
        <v>----</v>
      </c>
      <c r="G15" s="813"/>
      <c r="H15" s="825" t="str">
        <f t="shared" si="0"/>
        <v>----</v>
      </c>
      <c r="I15" s="810"/>
      <c r="J15" s="826" t="str">
        <f t="shared" si="1"/>
        <v>----</v>
      </c>
    </row>
    <row r="16" spans="1:12">
      <c r="A16" s="91"/>
      <c r="B16" s="92"/>
      <c r="C16" s="799"/>
      <c r="D16" s="815"/>
      <c r="E16" s="817"/>
      <c r="F16" s="679" t="str">
        <f t="shared" si="2"/>
        <v>----</v>
      </c>
      <c r="G16" s="817"/>
      <c r="H16" s="679" t="str">
        <f t="shared" si="0"/>
        <v>----</v>
      </c>
      <c r="I16" s="816"/>
      <c r="J16" s="680" t="str">
        <f t="shared" si="1"/>
        <v>----</v>
      </c>
    </row>
    <row r="17" spans="1:10" ht="15.75" thickBot="1">
      <c r="A17" s="74"/>
      <c r="B17" s="75"/>
      <c r="C17" s="800"/>
      <c r="D17" s="808"/>
      <c r="E17" s="814"/>
      <c r="F17" s="819" t="str">
        <f t="shared" si="2"/>
        <v>----</v>
      </c>
      <c r="G17" s="814"/>
      <c r="H17" s="819" t="str">
        <f t="shared" si="0"/>
        <v>----</v>
      </c>
      <c r="I17" s="811"/>
      <c r="J17" s="820" t="str">
        <f t="shared" si="1"/>
        <v>----</v>
      </c>
    </row>
    <row r="18" spans="1:10" ht="15.75" thickBot="1">
      <c r="A18" s="27"/>
      <c r="B18" s="27"/>
      <c r="C18" s="28"/>
      <c r="D18" s="28"/>
      <c r="E18" s="444"/>
      <c r="F18" s="446">
        <f>SUM(F4:F17)</f>
        <v>1128</v>
      </c>
      <c r="G18" s="444"/>
      <c r="H18" s="446">
        <f>SUM(H4:H17)</f>
        <v>0</v>
      </c>
      <c r="I18" s="28"/>
      <c r="J18" s="69">
        <f>SUM(J4:J17)</f>
        <v>0</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D11" sqref="D11"/>
    </sheetView>
  </sheetViews>
  <sheetFormatPr defaultRowHeight="15"/>
  <cols>
    <col min="2" max="2" width="23.7109375" bestFit="1" customWidth="1"/>
    <col min="3" max="3" width="10.7109375" bestFit="1" customWidth="1"/>
    <col min="4" max="4" width="11" customWidth="1"/>
    <col min="5" max="5" width="9.140625" style="437"/>
    <col min="6" max="6" width="14.85546875" style="437" customWidth="1"/>
    <col min="7" max="7" width="10.7109375" style="437" bestFit="1" customWidth="1"/>
    <col min="8" max="8" width="14.85546875" style="437" customWidth="1"/>
    <col min="9" max="9" width="10.7109375" bestFit="1" customWidth="1"/>
    <col min="10" max="10" width="14.85546875" customWidth="1"/>
  </cols>
  <sheetData>
    <row r="1" spans="1:11" ht="15.75" thickBot="1">
      <c r="A1" s="932" t="s">
        <v>151</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46.5" thickBot="1">
      <c r="A3" s="940"/>
      <c r="B3" s="942"/>
      <c r="C3" s="942"/>
      <c r="D3" s="944"/>
      <c r="E3" s="465" t="s">
        <v>121</v>
      </c>
      <c r="F3" s="473" t="s">
        <v>705</v>
      </c>
      <c r="G3" s="465" t="s">
        <v>121</v>
      </c>
      <c r="H3" s="473" t="s">
        <v>705</v>
      </c>
      <c r="I3" s="483" t="s">
        <v>121</v>
      </c>
      <c r="J3" s="25" t="s">
        <v>705</v>
      </c>
    </row>
    <row r="4" spans="1:11">
      <c r="A4" s="70">
        <v>43816</v>
      </c>
      <c r="B4" s="71" t="s">
        <v>170</v>
      </c>
      <c r="C4" s="72">
        <v>365363.15</v>
      </c>
      <c r="D4" s="434">
        <f>C4</f>
        <v>365363.15</v>
      </c>
      <c r="E4" s="474"/>
      <c r="F4" s="475" t="str">
        <f>IF(ISBLANK(E4),"----",E4-$D4)</f>
        <v>----</v>
      </c>
      <c r="G4" s="474">
        <v>365526.6</v>
      </c>
      <c r="H4" s="475">
        <f t="shared" ref="H4:H17" si="0">IF(OR(G4="Complete",ISBLANK(G4)),"----",G4-$D4)</f>
        <v>163.44999999995343</v>
      </c>
      <c r="I4" s="484" t="s">
        <v>704</v>
      </c>
      <c r="J4" s="73" t="str">
        <f t="shared" ref="J4:J17" si="1">IF(OR(I4="Complete",ISBLANK(I4)),"----",I4-$D4)</f>
        <v>----</v>
      </c>
    </row>
    <row r="5" spans="1:11">
      <c r="A5" s="88">
        <v>44180</v>
      </c>
      <c r="B5" s="101" t="s">
        <v>360</v>
      </c>
      <c r="C5" s="118">
        <v>176897</v>
      </c>
      <c r="D5" s="436">
        <f>C5</f>
        <v>176897</v>
      </c>
      <c r="E5" s="476"/>
      <c r="F5" s="492" t="str">
        <f t="shared" ref="F5:F17" si="2">IF(ISBLANK(E5),"----",E5-$D5)</f>
        <v>----</v>
      </c>
      <c r="G5" s="476"/>
      <c r="H5" s="492" t="str">
        <f t="shared" si="0"/>
        <v>----</v>
      </c>
      <c r="I5" s="489"/>
      <c r="J5" s="119" t="str">
        <f t="shared" si="1"/>
        <v>----</v>
      </c>
    </row>
    <row r="6" spans="1:11">
      <c r="A6" s="102">
        <v>44243</v>
      </c>
      <c r="B6" s="103" t="s">
        <v>391</v>
      </c>
      <c r="C6" s="87">
        <v>842906.7</v>
      </c>
      <c r="D6" s="471">
        <v>542496.69999999995</v>
      </c>
      <c r="E6" s="478"/>
      <c r="F6" s="492" t="str">
        <f t="shared" si="2"/>
        <v>----</v>
      </c>
      <c r="G6" s="478"/>
      <c r="H6" s="492" t="str">
        <f t="shared" si="0"/>
        <v>----</v>
      </c>
      <c r="I6" s="491">
        <f>793938.56-300410</f>
        <v>493528.56000000006</v>
      </c>
      <c r="J6" s="119">
        <f t="shared" si="1"/>
        <v>-48968.139999999898</v>
      </c>
      <c r="K6" s="797" t="s">
        <v>815</v>
      </c>
    </row>
    <row r="7" spans="1:11">
      <c r="A7" s="102">
        <v>44271</v>
      </c>
      <c r="B7" s="103" t="s">
        <v>405</v>
      </c>
      <c r="C7" s="87">
        <v>125028.75</v>
      </c>
      <c r="D7" s="471">
        <f>C7</f>
        <v>125028.75</v>
      </c>
      <c r="E7" s="478"/>
      <c r="F7" s="492" t="str">
        <f t="shared" si="2"/>
        <v>----</v>
      </c>
      <c r="G7" s="478">
        <v>126843.08</v>
      </c>
      <c r="H7" s="492">
        <f t="shared" si="0"/>
        <v>1814.3300000000017</v>
      </c>
      <c r="I7" s="491" t="s">
        <v>704</v>
      </c>
      <c r="J7" s="119" t="str">
        <f t="shared" si="1"/>
        <v>----</v>
      </c>
    </row>
    <row r="8" spans="1:11">
      <c r="A8" s="102">
        <v>45251</v>
      </c>
      <c r="B8" s="103" t="str">
        <f>Pocahontas!B5</f>
        <v>BROS-C076(70)--8J-76</v>
      </c>
      <c r="C8" s="87">
        <f>Pocahontas!C5</f>
        <v>408294.37</v>
      </c>
      <c r="D8" s="471">
        <f>Pocahontas!D5</f>
        <v>387529.37</v>
      </c>
      <c r="E8" s="478"/>
      <c r="F8" s="492" t="str">
        <f t="shared" si="2"/>
        <v>----</v>
      </c>
      <c r="G8" s="478"/>
      <c r="H8" s="492" t="str">
        <f t="shared" si="0"/>
        <v>----</v>
      </c>
      <c r="I8" s="491"/>
      <c r="J8" s="119" t="str">
        <f t="shared" si="1"/>
        <v>----</v>
      </c>
    </row>
    <row r="9" spans="1:11">
      <c r="A9" s="102">
        <v>45342</v>
      </c>
      <c r="B9" s="455" t="s">
        <v>728</v>
      </c>
      <c r="C9" s="608">
        <v>979511.38</v>
      </c>
      <c r="D9" s="609">
        <f>C9</f>
        <v>979511.38</v>
      </c>
      <c r="E9" s="478"/>
      <c r="F9" s="492" t="str">
        <f t="shared" si="2"/>
        <v>----</v>
      </c>
      <c r="G9" s="478"/>
      <c r="H9" s="492" t="str">
        <f t="shared" si="0"/>
        <v>----</v>
      </c>
      <c r="I9" s="491"/>
      <c r="J9" s="119" t="str">
        <f t="shared" si="1"/>
        <v>----</v>
      </c>
    </row>
    <row r="10" spans="1:11">
      <c r="A10" s="102">
        <v>45734</v>
      </c>
      <c r="B10" s="738" t="s">
        <v>859</v>
      </c>
      <c r="C10" s="608">
        <v>594238.19999999995</v>
      </c>
      <c r="D10" s="609">
        <f>C10</f>
        <v>594238.19999999995</v>
      </c>
      <c r="E10" s="478"/>
      <c r="F10" s="492" t="str">
        <f t="shared" si="2"/>
        <v>----</v>
      </c>
      <c r="G10" s="478"/>
      <c r="H10" s="492" t="str">
        <f t="shared" si="0"/>
        <v>----</v>
      </c>
      <c r="I10" s="491"/>
      <c r="J10" s="119" t="str">
        <f t="shared" si="1"/>
        <v>----</v>
      </c>
    </row>
    <row r="11" spans="1:11">
      <c r="A11" s="102"/>
      <c r="B11" s="103"/>
      <c r="C11" s="87"/>
      <c r="D11" s="471"/>
      <c r="E11" s="478"/>
      <c r="F11" s="492" t="str">
        <f t="shared" si="2"/>
        <v>----</v>
      </c>
      <c r="G11" s="478"/>
      <c r="H11" s="492" t="str">
        <f t="shared" si="0"/>
        <v>----</v>
      </c>
      <c r="I11" s="491"/>
      <c r="J11" s="119" t="str">
        <f t="shared" si="1"/>
        <v>----</v>
      </c>
    </row>
    <row r="12" spans="1:11">
      <c r="A12" s="102"/>
      <c r="B12" s="103"/>
      <c r="C12" s="87"/>
      <c r="D12" s="471"/>
      <c r="E12" s="478"/>
      <c r="F12" s="492" t="str">
        <f t="shared" si="2"/>
        <v>----</v>
      </c>
      <c r="G12" s="478"/>
      <c r="H12" s="492" t="str">
        <f t="shared" si="0"/>
        <v>----</v>
      </c>
      <c r="I12" s="491"/>
      <c r="J12" s="119" t="str">
        <f t="shared" si="1"/>
        <v>----</v>
      </c>
    </row>
    <row r="13" spans="1:11">
      <c r="A13" s="102"/>
      <c r="B13" s="103"/>
      <c r="C13" s="87"/>
      <c r="D13" s="471"/>
      <c r="E13" s="478"/>
      <c r="F13" s="492" t="str">
        <f t="shared" si="2"/>
        <v>----</v>
      </c>
      <c r="G13" s="478"/>
      <c r="H13" s="492" t="str">
        <f t="shared" si="0"/>
        <v>----</v>
      </c>
      <c r="I13" s="491"/>
      <c r="J13" s="119" t="str">
        <f t="shared" si="1"/>
        <v>----</v>
      </c>
    </row>
    <row r="14" spans="1:11">
      <c r="A14" s="102"/>
      <c r="B14" s="103"/>
      <c r="C14" s="87"/>
      <c r="D14" s="471"/>
      <c r="E14" s="478"/>
      <c r="F14" s="492" t="str">
        <f t="shared" si="2"/>
        <v>----</v>
      </c>
      <c r="G14" s="478"/>
      <c r="H14" s="492" t="str">
        <f t="shared" si="0"/>
        <v>----</v>
      </c>
      <c r="I14" s="491"/>
      <c r="J14" s="119" t="str">
        <f t="shared" si="1"/>
        <v>----</v>
      </c>
    </row>
    <row r="15" spans="1:11">
      <c r="A15" s="102"/>
      <c r="B15" s="103"/>
      <c r="C15" s="87"/>
      <c r="D15" s="471"/>
      <c r="E15" s="478"/>
      <c r="F15" s="492" t="str">
        <f t="shared" si="2"/>
        <v>----</v>
      </c>
      <c r="G15" s="478"/>
      <c r="H15" s="492" t="str">
        <f t="shared" si="0"/>
        <v>----</v>
      </c>
      <c r="I15" s="491"/>
      <c r="J15" s="119" t="str">
        <f t="shared" si="1"/>
        <v>----</v>
      </c>
    </row>
    <row r="16" spans="1:11">
      <c r="A16" s="116"/>
      <c r="B16" s="117"/>
      <c r="C16" s="118"/>
      <c r="D16" s="472"/>
      <c r="E16" s="479"/>
      <c r="F16" s="492" t="str">
        <f t="shared" si="2"/>
        <v>----</v>
      </c>
      <c r="G16" s="479"/>
      <c r="H16" s="492" t="str">
        <f t="shared" si="0"/>
        <v>----</v>
      </c>
      <c r="I16" s="493"/>
      <c r="J16" s="119" t="str">
        <f t="shared" si="1"/>
        <v>----</v>
      </c>
    </row>
    <row r="17" spans="1:10" ht="15.75" thickBot="1">
      <c r="A17" s="74"/>
      <c r="B17" s="75"/>
      <c r="C17" s="76"/>
      <c r="D17" s="435"/>
      <c r="E17" s="480"/>
      <c r="F17" s="481" t="str">
        <f t="shared" si="2"/>
        <v>----</v>
      </c>
      <c r="G17" s="480"/>
      <c r="H17" s="481" t="str">
        <f t="shared" si="0"/>
        <v>----</v>
      </c>
      <c r="I17" s="486"/>
      <c r="J17" s="77" t="str">
        <f t="shared" si="1"/>
        <v>----</v>
      </c>
    </row>
    <row r="18" spans="1:10" ht="15.75" thickBot="1">
      <c r="A18" s="27"/>
      <c r="B18" s="27"/>
      <c r="C18" s="28"/>
      <c r="D18" s="28"/>
      <c r="E18" s="444"/>
      <c r="F18" s="446">
        <f>SUM(F4:F17)</f>
        <v>0</v>
      </c>
      <c r="G18" s="444"/>
      <c r="H18" s="446">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C4" sqref="C4:J23"/>
    </sheetView>
  </sheetViews>
  <sheetFormatPr defaultRowHeight="15"/>
  <cols>
    <col min="2" max="2" width="23.7109375" bestFit="1" customWidth="1"/>
    <col min="3" max="3" width="10.7109375" bestFit="1" customWidth="1"/>
    <col min="4" max="4" width="11.5703125" customWidth="1"/>
    <col min="5" max="5" width="10.42578125" style="437" customWidth="1"/>
    <col min="6" max="6" width="11" style="437" customWidth="1"/>
    <col min="7" max="7" width="10" style="437" customWidth="1"/>
    <col min="8" max="8" width="11" style="437" customWidth="1"/>
    <col min="9" max="9" width="10" customWidth="1"/>
    <col min="10" max="10" width="11" customWidth="1"/>
  </cols>
  <sheetData>
    <row r="1" spans="1:10" ht="14.25" customHeight="1" thickBot="1">
      <c r="A1" s="932" t="s">
        <v>132</v>
      </c>
      <c r="B1" s="933"/>
      <c r="C1" s="933"/>
      <c r="D1" s="933"/>
      <c r="E1" s="933"/>
      <c r="F1" s="933"/>
      <c r="G1" s="933"/>
      <c r="H1" s="933"/>
      <c r="I1" s="933"/>
      <c r="J1" s="934"/>
    </row>
    <row r="2" spans="1:10" s="437" customFormat="1" ht="14.25" customHeigh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43753</v>
      </c>
      <c r="B4" s="259" t="s">
        <v>477</v>
      </c>
      <c r="C4" s="798">
        <v>319293.5</v>
      </c>
      <c r="D4" s="805">
        <f>C4</f>
        <v>319293.5</v>
      </c>
      <c r="E4" s="812"/>
      <c r="F4" s="821" t="str">
        <f>IF(ISBLANK(E4),"----",E4-$D4)</f>
        <v>----</v>
      </c>
      <c r="G4" s="812"/>
      <c r="H4" s="821" t="str">
        <f t="shared" ref="H4:H22" si="0">IF(OR(G4="Complete",ISBLANK(G4)),"----",G4-$D4)</f>
        <v>----</v>
      </c>
      <c r="I4" s="809"/>
      <c r="J4" s="822" t="str">
        <f t="shared" ref="J4:J22" si="1">IF(OR(I4="Complete",ISBLANK(I4)),"----",I4-$D4)</f>
        <v>----</v>
      </c>
    </row>
    <row r="5" spans="1:10">
      <c r="A5" s="88">
        <v>44551</v>
      </c>
      <c r="B5" s="260" t="s">
        <v>478</v>
      </c>
      <c r="C5" s="801">
        <v>342622.4</v>
      </c>
      <c r="D5" s="806">
        <f>C5</f>
        <v>342622.4</v>
      </c>
      <c r="E5" s="813">
        <v>342622.39</v>
      </c>
      <c r="F5" s="791">
        <f t="shared" ref="F5:F22" si="2">IF(ISBLANK(E5),"----",E5-$D5)</f>
        <v>-1.0000000009313226E-2</v>
      </c>
      <c r="G5" s="813" t="s">
        <v>704</v>
      </c>
      <c r="H5" s="791" t="str">
        <f t="shared" si="0"/>
        <v>----</v>
      </c>
      <c r="I5" s="810" t="s">
        <v>704</v>
      </c>
      <c r="J5" s="792" t="str">
        <f t="shared" si="1"/>
        <v>----</v>
      </c>
    </row>
    <row r="6" spans="1:10">
      <c r="A6" s="102">
        <v>44915</v>
      </c>
      <c r="B6" s="258" t="s">
        <v>602</v>
      </c>
      <c r="C6" s="787">
        <v>476642.96</v>
      </c>
      <c r="D6" s="746">
        <f>C6</f>
        <v>476642.96</v>
      </c>
      <c r="E6" s="756">
        <v>474129.24</v>
      </c>
      <c r="F6" s="791">
        <f t="shared" si="2"/>
        <v>-2513.7200000000303</v>
      </c>
      <c r="G6" s="756" t="s">
        <v>704</v>
      </c>
      <c r="H6" s="791" t="str">
        <f t="shared" si="0"/>
        <v>----</v>
      </c>
      <c r="I6" s="751" t="s">
        <v>704</v>
      </c>
      <c r="J6" s="792" t="str">
        <f t="shared" si="1"/>
        <v>----</v>
      </c>
    </row>
    <row r="7" spans="1:10">
      <c r="A7" s="950">
        <v>45734</v>
      </c>
      <c r="B7" s="258" t="s">
        <v>860</v>
      </c>
      <c r="C7" s="787">
        <v>184835</v>
      </c>
      <c r="D7" s="746">
        <f>C7</f>
        <v>184835</v>
      </c>
      <c r="E7" s="756"/>
      <c r="F7" s="791" t="str">
        <f t="shared" si="2"/>
        <v>----</v>
      </c>
      <c r="G7" s="756"/>
      <c r="H7" s="791" t="str">
        <f t="shared" si="0"/>
        <v>----</v>
      </c>
      <c r="I7" s="751"/>
      <c r="J7" s="792" t="str">
        <f t="shared" si="1"/>
        <v>----</v>
      </c>
    </row>
    <row r="8" spans="1:10">
      <c r="A8" s="952"/>
      <c r="B8" s="258" t="s">
        <v>861</v>
      </c>
      <c r="C8" s="787">
        <v>109288</v>
      </c>
      <c r="D8" s="746">
        <f>C8</f>
        <v>109288</v>
      </c>
      <c r="E8" s="756"/>
      <c r="F8" s="791" t="str">
        <f t="shared" si="2"/>
        <v>----</v>
      </c>
      <c r="G8" s="756"/>
      <c r="H8" s="791" t="str">
        <f t="shared" si="0"/>
        <v>----</v>
      </c>
      <c r="I8" s="751"/>
      <c r="J8" s="792" t="str">
        <f t="shared" si="1"/>
        <v>----</v>
      </c>
    </row>
    <row r="9" spans="1:10">
      <c r="A9" s="102"/>
      <c r="B9" s="258"/>
      <c r="C9" s="787"/>
      <c r="D9" s="746"/>
      <c r="E9" s="756"/>
      <c r="F9" s="791" t="str">
        <f t="shared" si="2"/>
        <v>----</v>
      </c>
      <c r="G9" s="756"/>
      <c r="H9" s="791" t="str">
        <f t="shared" si="0"/>
        <v>----</v>
      </c>
      <c r="I9" s="751"/>
      <c r="J9" s="792" t="str">
        <f t="shared" si="1"/>
        <v>----</v>
      </c>
    </row>
    <row r="10" spans="1:10">
      <c r="A10" s="102"/>
      <c r="B10" s="258"/>
      <c r="C10" s="787"/>
      <c r="D10" s="746"/>
      <c r="E10" s="756"/>
      <c r="F10" s="791" t="str">
        <f t="shared" si="2"/>
        <v>----</v>
      </c>
      <c r="G10" s="756"/>
      <c r="H10" s="791" t="str">
        <f t="shared" si="0"/>
        <v>----</v>
      </c>
      <c r="I10" s="751"/>
      <c r="J10" s="792" t="str">
        <f t="shared" si="1"/>
        <v>----</v>
      </c>
    </row>
    <row r="11" spans="1:10">
      <c r="A11" s="102"/>
      <c r="B11" s="258"/>
      <c r="C11" s="787"/>
      <c r="D11" s="746"/>
      <c r="E11" s="756"/>
      <c r="F11" s="791" t="str">
        <f t="shared" si="2"/>
        <v>----</v>
      </c>
      <c r="G11" s="756"/>
      <c r="H11" s="791" t="str">
        <f t="shared" si="0"/>
        <v>----</v>
      </c>
      <c r="I11" s="751"/>
      <c r="J11" s="792" t="str">
        <f t="shared" si="1"/>
        <v>----</v>
      </c>
    </row>
    <row r="12" spans="1:10">
      <c r="A12" s="102"/>
      <c r="B12" s="258"/>
      <c r="C12" s="787"/>
      <c r="D12" s="746"/>
      <c r="E12" s="756"/>
      <c r="F12" s="791" t="str">
        <f t="shared" si="2"/>
        <v>----</v>
      </c>
      <c r="G12" s="756"/>
      <c r="H12" s="791" t="str">
        <f t="shared" si="0"/>
        <v>----</v>
      </c>
      <c r="I12" s="751"/>
      <c r="J12" s="792" t="str">
        <f t="shared" si="1"/>
        <v>----</v>
      </c>
    </row>
    <row r="13" spans="1:10">
      <c r="A13" s="102"/>
      <c r="B13" s="258"/>
      <c r="C13" s="787"/>
      <c r="D13" s="746"/>
      <c r="E13" s="756"/>
      <c r="F13" s="791" t="str">
        <f t="shared" si="2"/>
        <v>----</v>
      </c>
      <c r="G13" s="756"/>
      <c r="H13" s="791" t="str">
        <f t="shared" si="0"/>
        <v>----</v>
      </c>
      <c r="I13" s="751"/>
      <c r="J13" s="792" t="str">
        <f t="shared" si="1"/>
        <v>----</v>
      </c>
    </row>
    <row r="14" spans="1:10">
      <c r="A14" s="102"/>
      <c r="B14" s="258"/>
      <c r="C14" s="787"/>
      <c r="D14" s="746"/>
      <c r="E14" s="756"/>
      <c r="F14" s="791" t="str">
        <f t="shared" si="2"/>
        <v>----</v>
      </c>
      <c r="G14" s="756"/>
      <c r="H14" s="791" t="str">
        <f t="shared" si="0"/>
        <v>----</v>
      </c>
      <c r="I14" s="751"/>
      <c r="J14" s="792" t="str">
        <f t="shared" si="1"/>
        <v>----</v>
      </c>
    </row>
    <row r="15" spans="1:10">
      <c r="A15" s="102"/>
      <c r="B15" s="258"/>
      <c r="C15" s="787"/>
      <c r="D15" s="746"/>
      <c r="E15" s="756"/>
      <c r="F15" s="791" t="str">
        <f t="shared" si="2"/>
        <v>----</v>
      </c>
      <c r="G15" s="756"/>
      <c r="H15" s="791" t="str">
        <f t="shared" si="0"/>
        <v>----</v>
      </c>
      <c r="I15" s="751"/>
      <c r="J15" s="792" t="str">
        <f t="shared" si="1"/>
        <v>----</v>
      </c>
    </row>
    <row r="16" spans="1:10">
      <c r="A16" s="102"/>
      <c r="B16" s="258"/>
      <c r="C16" s="787"/>
      <c r="D16" s="746"/>
      <c r="E16" s="756"/>
      <c r="F16" s="791" t="str">
        <f t="shared" si="2"/>
        <v>----</v>
      </c>
      <c r="G16" s="756"/>
      <c r="H16" s="791" t="str">
        <f t="shared" si="0"/>
        <v>----</v>
      </c>
      <c r="I16" s="751"/>
      <c r="J16" s="792" t="str">
        <f t="shared" si="1"/>
        <v>----</v>
      </c>
    </row>
    <row r="17" spans="1:11">
      <c r="A17" s="102"/>
      <c r="B17" s="258"/>
      <c r="C17" s="787"/>
      <c r="D17" s="746"/>
      <c r="E17" s="756"/>
      <c r="F17" s="791" t="str">
        <f t="shared" si="2"/>
        <v>----</v>
      </c>
      <c r="G17" s="756"/>
      <c r="H17" s="791" t="str">
        <f t="shared" si="0"/>
        <v>----</v>
      </c>
      <c r="I17" s="751"/>
      <c r="J17" s="792" t="str">
        <f t="shared" si="1"/>
        <v>----</v>
      </c>
    </row>
    <row r="18" spans="1:11">
      <c r="A18" s="102"/>
      <c r="B18" s="258"/>
      <c r="C18" s="787"/>
      <c r="D18" s="746"/>
      <c r="E18" s="756"/>
      <c r="F18" s="791" t="str">
        <f t="shared" si="2"/>
        <v>----</v>
      </c>
      <c r="G18" s="756"/>
      <c r="H18" s="791" t="str">
        <f t="shared" si="0"/>
        <v>----</v>
      </c>
      <c r="I18" s="751"/>
      <c r="J18" s="792" t="str">
        <f t="shared" si="1"/>
        <v>----</v>
      </c>
    </row>
    <row r="19" spans="1:11">
      <c r="A19" s="102"/>
      <c r="B19" s="258"/>
      <c r="C19" s="787"/>
      <c r="D19" s="746"/>
      <c r="E19" s="756"/>
      <c r="F19" s="791" t="str">
        <f t="shared" si="2"/>
        <v>----</v>
      </c>
      <c r="G19" s="756"/>
      <c r="H19" s="791" t="str">
        <f t="shared" si="0"/>
        <v>----</v>
      </c>
      <c r="I19" s="751"/>
      <c r="J19" s="792" t="str">
        <f t="shared" si="1"/>
        <v>----</v>
      </c>
    </row>
    <row r="20" spans="1:11">
      <c r="A20" s="102"/>
      <c r="B20" s="258"/>
      <c r="C20" s="787"/>
      <c r="D20" s="746"/>
      <c r="E20" s="756"/>
      <c r="F20" s="791" t="str">
        <f t="shared" si="2"/>
        <v>----</v>
      </c>
      <c r="G20" s="756"/>
      <c r="H20" s="791" t="str">
        <f t="shared" si="0"/>
        <v>----</v>
      </c>
      <c r="I20" s="751"/>
      <c r="J20" s="792" t="str">
        <f t="shared" si="1"/>
        <v>----</v>
      </c>
    </row>
    <row r="21" spans="1:11">
      <c r="A21" s="116"/>
      <c r="B21" s="261"/>
      <c r="C21" s="790"/>
      <c r="D21" s="807"/>
      <c r="E21" s="757"/>
      <c r="F21" s="791" t="str">
        <f t="shared" si="2"/>
        <v>----</v>
      </c>
      <c r="G21" s="757"/>
      <c r="H21" s="791" t="str">
        <f t="shared" si="0"/>
        <v>----</v>
      </c>
      <c r="I21" s="752"/>
      <c r="J21" s="792" t="str">
        <f t="shared" si="1"/>
        <v>----</v>
      </c>
    </row>
    <row r="22" spans="1:11" ht="15.75" thickBot="1">
      <c r="A22" s="74"/>
      <c r="B22" s="75"/>
      <c r="C22" s="800"/>
      <c r="D22" s="808"/>
      <c r="E22" s="814"/>
      <c r="F22" s="819" t="str">
        <f t="shared" si="2"/>
        <v>----</v>
      </c>
      <c r="G22" s="814"/>
      <c r="H22" s="819" t="str">
        <f t="shared" si="0"/>
        <v>----</v>
      </c>
      <c r="I22" s="811"/>
      <c r="J22" s="820" t="str">
        <f t="shared" si="1"/>
        <v>----</v>
      </c>
    </row>
    <row r="23" spans="1:11" ht="15.75" thickBot="1">
      <c r="A23" s="27"/>
      <c r="B23" s="27"/>
      <c r="C23" s="832"/>
      <c r="D23" s="832"/>
      <c r="E23" s="832"/>
      <c r="F23" s="833">
        <f>SUM(F4:F22)</f>
        <v>-2513.7300000000396</v>
      </c>
      <c r="G23" s="832"/>
      <c r="H23" s="833">
        <f>SUM(H4:H22)</f>
        <v>0</v>
      </c>
      <c r="I23" s="832"/>
      <c r="J23" s="833">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5" sqref="D15"/>
    </sheetView>
  </sheetViews>
  <sheetFormatPr defaultRowHeight="15"/>
  <cols>
    <col min="2" max="2" width="30.7109375" bestFit="1" customWidth="1"/>
    <col min="3" max="4" width="12.28515625" bestFit="1" customWidth="1"/>
    <col min="5" max="5" width="12.5703125" style="437" bestFit="1" customWidth="1"/>
    <col min="6" max="6" width="9.85546875" style="437" bestFit="1" customWidth="1"/>
    <col min="7" max="7" width="12.5703125" style="437" bestFit="1" customWidth="1"/>
    <col min="8" max="8" width="9.85546875" style="437" bestFit="1" customWidth="1"/>
    <col min="9" max="9" width="12.5703125" bestFit="1" customWidth="1"/>
    <col min="10" max="10" width="9.85546875" bestFit="1" customWidth="1"/>
  </cols>
  <sheetData>
    <row r="1" spans="1:11" ht="15.75" thickBot="1">
      <c r="A1" s="932" t="s">
        <v>251</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70">
        <v>44033</v>
      </c>
      <c r="B4" s="71" t="s">
        <v>297</v>
      </c>
      <c r="C4" s="798">
        <v>664562.31999999995</v>
      </c>
      <c r="D4" s="805">
        <f>C4</f>
        <v>664562.31999999995</v>
      </c>
      <c r="E4" s="812">
        <v>659636.07999999996</v>
      </c>
      <c r="F4" s="821">
        <f>IF(ISBLANK(E4),"----",E4-$D4)</f>
        <v>-4926.2399999999907</v>
      </c>
      <c r="G4" s="812" t="s">
        <v>704</v>
      </c>
      <c r="H4" s="821" t="str">
        <f t="shared" ref="H4:H24" si="0">IF(OR(G4="Complete",ISBLANK(G4)),"----",G4-$D4)</f>
        <v>----</v>
      </c>
      <c r="I4" s="809" t="s">
        <v>704</v>
      </c>
      <c r="J4" s="822" t="str">
        <f t="shared" ref="J4:J24" si="1">IF(OR(I4="Complete",ISBLANK(I4)),"----",I4-$D4)</f>
        <v>----</v>
      </c>
    </row>
    <row r="5" spans="1:11">
      <c r="A5" s="88">
        <v>44124</v>
      </c>
      <c r="B5" s="101" t="s">
        <v>309</v>
      </c>
      <c r="C5" s="801">
        <v>647329</v>
      </c>
      <c r="D5" s="806">
        <v>428849</v>
      </c>
      <c r="E5" s="813"/>
      <c r="F5" s="825" t="str">
        <f t="shared" ref="F5:F24" si="2">IF(ISBLANK(E5),"----",E5-$D5)</f>
        <v>----</v>
      </c>
      <c r="G5" s="813">
        <f>674323.68-218480</f>
        <v>455843.68000000005</v>
      </c>
      <c r="H5" s="825">
        <f t="shared" si="0"/>
        <v>26994.680000000051</v>
      </c>
      <c r="I5" s="810" t="s">
        <v>704</v>
      </c>
      <c r="J5" s="826" t="str">
        <f t="shared" si="1"/>
        <v>----</v>
      </c>
      <c r="K5" t="s">
        <v>811</v>
      </c>
    </row>
    <row r="6" spans="1:11">
      <c r="A6" s="102">
        <v>44306</v>
      </c>
      <c r="B6" s="103" t="s">
        <v>420</v>
      </c>
      <c r="C6" s="787">
        <v>621942.03</v>
      </c>
      <c r="D6" s="746">
        <f t="shared" ref="D6:D11" si="3">C6</f>
        <v>621942.03</v>
      </c>
      <c r="E6" s="756">
        <v>685979.82</v>
      </c>
      <c r="F6" s="788">
        <f t="shared" si="2"/>
        <v>64037.789999999921</v>
      </c>
      <c r="G6" s="756" t="s">
        <v>704</v>
      </c>
      <c r="H6" s="788" t="str">
        <f t="shared" si="0"/>
        <v>----</v>
      </c>
      <c r="I6" s="751" t="s">
        <v>704</v>
      </c>
      <c r="J6" s="789" t="str">
        <f t="shared" si="1"/>
        <v>----</v>
      </c>
    </row>
    <row r="7" spans="1:11">
      <c r="A7" s="102">
        <v>44733</v>
      </c>
      <c r="B7" s="103" t="s">
        <v>535</v>
      </c>
      <c r="C7" s="787">
        <v>443631.64</v>
      </c>
      <c r="D7" s="746">
        <f t="shared" si="3"/>
        <v>443631.64</v>
      </c>
      <c r="E7" s="830"/>
      <c r="F7" s="788" t="str">
        <f t="shared" si="2"/>
        <v>----</v>
      </c>
      <c r="G7" s="830"/>
      <c r="H7" s="788" t="str">
        <f t="shared" si="0"/>
        <v>----</v>
      </c>
      <c r="I7" s="831"/>
      <c r="J7" s="789" t="str">
        <f t="shared" si="1"/>
        <v>----</v>
      </c>
    </row>
    <row r="8" spans="1:11">
      <c r="A8" s="102">
        <v>44774</v>
      </c>
      <c r="B8" s="103" t="s">
        <v>534</v>
      </c>
      <c r="C8" s="787">
        <v>-1500000</v>
      </c>
      <c r="D8" s="746">
        <f t="shared" si="3"/>
        <v>-1500000</v>
      </c>
      <c r="E8" s="830">
        <v>-1500000</v>
      </c>
      <c r="F8" s="788">
        <f t="shared" si="2"/>
        <v>0</v>
      </c>
      <c r="G8" s="830" t="s">
        <v>704</v>
      </c>
      <c r="H8" s="788" t="str">
        <f t="shared" si="0"/>
        <v>----</v>
      </c>
      <c r="I8" s="831" t="s">
        <v>704</v>
      </c>
      <c r="J8" s="789" t="str">
        <f t="shared" si="1"/>
        <v>----</v>
      </c>
    </row>
    <row r="9" spans="1:11">
      <c r="A9" s="102">
        <v>44789</v>
      </c>
      <c r="B9" s="103" t="s">
        <v>552</v>
      </c>
      <c r="C9" s="787">
        <v>485482.5</v>
      </c>
      <c r="D9" s="746">
        <f t="shared" si="3"/>
        <v>485482.5</v>
      </c>
      <c r="E9" s="756"/>
      <c r="F9" s="788" t="str">
        <f t="shared" si="2"/>
        <v>----</v>
      </c>
      <c r="G9" s="756"/>
      <c r="H9" s="788" t="str">
        <f t="shared" si="0"/>
        <v>----</v>
      </c>
      <c r="I9" s="751"/>
      <c r="J9" s="789" t="str">
        <f t="shared" si="1"/>
        <v>----</v>
      </c>
    </row>
    <row r="10" spans="1:11">
      <c r="A10" s="102">
        <v>44880</v>
      </c>
      <c r="B10" s="103" t="s">
        <v>586</v>
      </c>
      <c r="C10" s="787">
        <v>1073365.94</v>
      </c>
      <c r="D10" s="746">
        <f t="shared" si="3"/>
        <v>1073365.94</v>
      </c>
      <c r="E10" s="756"/>
      <c r="F10" s="788" t="str">
        <f t="shared" si="2"/>
        <v>----</v>
      </c>
      <c r="G10" s="756"/>
      <c r="H10" s="788" t="str">
        <f t="shared" si="0"/>
        <v>----</v>
      </c>
      <c r="I10" s="751"/>
      <c r="J10" s="789" t="str">
        <f t="shared" si="1"/>
        <v>----</v>
      </c>
    </row>
    <row r="11" spans="1:11">
      <c r="A11" s="102">
        <v>44880</v>
      </c>
      <c r="B11" s="103" t="s">
        <v>587</v>
      </c>
      <c r="C11" s="787">
        <v>1175531.25</v>
      </c>
      <c r="D11" s="746">
        <f t="shared" si="3"/>
        <v>1175531.25</v>
      </c>
      <c r="E11" s="756"/>
      <c r="F11" s="788" t="str">
        <f t="shared" si="2"/>
        <v>----</v>
      </c>
      <c r="G11" s="756"/>
      <c r="H11" s="788" t="str">
        <f t="shared" si="0"/>
        <v>----</v>
      </c>
      <c r="I11" s="751"/>
      <c r="J11" s="789" t="str">
        <f t="shared" si="1"/>
        <v>----</v>
      </c>
    </row>
    <row r="12" spans="1:11">
      <c r="A12" s="102">
        <v>44944</v>
      </c>
      <c r="B12" s="103" t="s">
        <v>624</v>
      </c>
      <c r="C12" s="787">
        <v>1861848.2</v>
      </c>
      <c r="D12" s="746">
        <f>C12</f>
        <v>1861848.2</v>
      </c>
      <c r="E12" s="756"/>
      <c r="F12" s="788" t="str">
        <f t="shared" si="2"/>
        <v>----</v>
      </c>
      <c r="G12" s="756"/>
      <c r="H12" s="788" t="str">
        <f t="shared" si="0"/>
        <v>----</v>
      </c>
      <c r="I12" s="751"/>
      <c r="J12" s="789" t="str">
        <f t="shared" si="1"/>
        <v>----</v>
      </c>
    </row>
    <row r="13" spans="1:11">
      <c r="A13" s="102">
        <v>45679</v>
      </c>
      <c r="B13" s="738" t="s">
        <v>820</v>
      </c>
      <c r="C13" s="787">
        <v>632717.75</v>
      </c>
      <c r="D13" s="746">
        <f>C13</f>
        <v>632717.75</v>
      </c>
      <c r="E13" s="756"/>
      <c r="F13" s="788" t="str">
        <f t="shared" si="2"/>
        <v>----</v>
      </c>
      <c r="G13" s="756"/>
      <c r="H13" s="788" t="str">
        <f t="shared" si="0"/>
        <v>----</v>
      </c>
      <c r="I13" s="751"/>
      <c r="J13" s="789" t="str">
        <f t="shared" si="1"/>
        <v>----</v>
      </c>
    </row>
    <row r="14" spans="1:11">
      <c r="A14" s="102">
        <v>45679</v>
      </c>
      <c r="B14" s="738" t="s">
        <v>821</v>
      </c>
      <c r="C14" s="787">
        <v>432358.5</v>
      </c>
      <c r="D14" s="746">
        <f>C14</f>
        <v>432358.5</v>
      </c>
      <c r="E14" s="756"/>
      <c r="F14" s="788" t="str">
        <f t="shared" si="2"/>
        <v>----</v>
      </c>
      <c r="G14" s="756"/>
      <c r="H14" s="788" t="str">
        <f t="shared" si="0"/>
        <v>----</v>
      </c>
      <c r="I14" s="751"/>
      <c r="J14" s="789" t="str">
        <f t="shared" si="1"/>
        <v>----</v>
      </c>
    </row>
    <row r="15" spans="1:11">
      <c r="A15" s="102"/>
      <c r="B15" s="103"/>
      <c r="C15" s="787"/>
      <c r="D15" s="746"/>
      <c r="E15" s="756"/>
      <c r="F15" s="788" t="str">
        <f t="shared" si="2"/>
        <v>----</v>
      </c>
      <c r="G15" s="756"/>
      <c r="H15" s="788" t="str">
        <f t="shared" si="0"/>
        <v>----</v>
      </c>
      <c r="I15" s="751"/>
      <c r="J15" s="789" t="str">
        <f t="shared" si="1"/>
        <v>----</v>
      </c>
    </row>
    <row r="16" spans="1:11">
      <c r="A16" s="102"/>
      <c r="B16" s="103"/>
      <c r="C16" s="787"/>
      <c r="D16" s="746"/>
      <c r="E16" s="756"/>
      <c r="F16" s="788" t="str">
        <f t="shared" si="2"/>
        <v>----</v>
      </c>
      <c r="G16" s="756"/>
      <c r="H16" s="788" t="str">
        <f t="shared" si="0"/>
        <v>----</v>
      </c>
      <c r="I16" s="751"/>
      <c r="J16" s="789" t="str">
        <f t="shared" si="1"/>
        <v>----</v>
      </c>
    </row>
    <row r="17" spans="1:10">
      <c r="A17" s="102"/>
      <c r="B17" s="103"/>
      <c r="C17" s="787"/>
      <c r="D17" s="746"/>
      <c r="E17" s="756"/>
      <c r="F17" s="788" t="str">
        <f t="shared" si="2"/>
        <v>----</v>
      </c>
      <c r="G17" s="756"/>
      <c r="H17" s="788" t="str">
        <f t="shared" si="0"/>
        <v>----</v>
      </c>
      <c r="I17" s="751"/>
      <c r="J17" s="789" t="str">
        <f t="shared" si="1"/>
        <v>----</v>
      </c>
    </row>
    <row r="18" spans="1:10">
      <c r="A18" s="102"/>
      <c r="B18" s="103"/>
      <c r="C18" s="787"/>
      <c r="D18" s="746"/>
      <c r="E18" s="756"/>
      <c r="F18" s="788" t="str">
        <f t="shared" si="2"/>
        <v>----</v>
      </c>
      <c r="G18" s="756"/>
      <c r="H18" s="788" t="str">
        <f t="shared" si="0"/>
        <v>----</v>
      </c>
      <c r="I18" s="751"/>
      <c r="J18" s="789" t="str">
        <f t="shared" si="1"/>
        <v>----</v>
      </c>
    </row>
    <row r="19" spans="1:10">
      <c r="A19" s="102"/>
      <c r="B19" s="103"/>
      <c r="C19" s="787"/>
      <c r="D19" s="746"/>
      <c r="E19" s="756"/>
      <c r="F19" s="788" t="str">
        <f t="shared" si="2"/>
        <v>----</v>
      </c>
      <c r="G19" s="756"/>
      <c r="H19" s="788" t="str">
        <f t="shared" si="0"/>
        <v>----</v>
      </c>
      <c r="I19" s="751"/>
      <c r="J19" s="789" t="str">
        <f t="shared" si="1"/>
        <v>----</v>
      </c>
    </row>
    <row r="20" spans="1:10">
      <c r="A20" s="102"/>
      <c r="B20" s="103"/>
      <c r="C20" s="787"/>
      <c r="D20" s="746"/>
      <c r="E20" s="756"/>
      <c r="F20" s="788" t="str">
        <f t="shared" si="2"/>
        <v>----</v>
      </c>
      <c r="G20" s="756"/>
      <c r="H20" s="788" t="str">
        <f t="shared" si="0"/>
        <v>----</v>
      </c>
      <c r="I20" s="751"/>
      <c r="J20" s="789" t="str">
        <f t="shared" si="1"/>
        <v>----</v>
      </c>
    </row>
    <row r="21" spans="1:10">
      <c r="A21" s="102"/>
      <c r="B21" s="103"/>
      <c r="C21" s="787"/>
      <c r="D21" s="746"/>
      <c r="E21" s="756"/>
      <c r="F21" s="788" t="str">
        <f t="shared" si="2"/>
        <v>----</v>
      </c>
      <c r="G21" s="756"/>
      <c r="H21" s="788" t="str">
        <f t="shared" si="0"/>
        <v>----</v>
      </c>
      <c r="I21" s="751"/>
      <c r="J21" s="789" t="str">
        <f t="shared" si="1"/>
        <v>----</v>
      </c>
    </row>
    <row r="22" spans="1:10">
      <c r="A22" s="102"/>
      <c r="B22" s="103"/>
      <c r="C22" s="787"/>
      <c r="D22" s="746"/>
      <c r="E22" s="756"/>
      <c r="F22" s="788" t="str">
        <f t="shared" si="2"/>
        <v>----</v>
      </c>
      <c r="G22" s="756"/>
      <c r="H22" s="788" t="str">
        <f t="shared" si="0"/>
        <v>----</v>
      </c>
      <c r="I22" s="751"/>
      <c r="J22" s="789" t="str">
        <f t="shared" si="1"/>
        <v>----</v>
      </c>
    </row>
    <row r="23" spans="1:10">
      <c r="A23" s="116"/>
      <c r="B23" s="117"/>
      <c r="C23" s="790"/>
      <c r="D23" s="807"/>
      <c r="E23" s="757"/>
      <c r="F23" s="791" t="str">
        <f t="shared" si="2"/>
        <v>----</v>
      </c>
      <c r="G23" s="757"/>
      <c r="H23" s="791" t="str">
        <f t="shared" si="0"/>
        <v>----</v>
      </c>
      <c r="I23" s="752"/>
      <c r="J23" s="792" t="str">
        <f t="shared" si="1"/>
        <v>----</v>
      </c>
    </row>
    <row r="24" spans="1:10" ht="15.75" thickBot="1">
      <c r="A24" s="74"/>
      <c r="B24" s="75"/>
      <c r="C24" s="800"/>
      <c r="D24" s="808"/>
      <c r="E24" s="814"/>
      <c r="F24" s="819" t="str">
        <f t="shared" si="2"/>
        <v>----</v>
      </c>
      <c r="G24" s="814"/>
      <c r="H24" s="819" t="str">
        <f t="shared" si="0"/>
        <v>----</v>
      </c>
      <c r="I24" s="811"/>
      <c r="J24" s="820" t="str">
        <f t="shared" si="1"/>
        <v>----</v>
      </c>
    </row>
    <row r="25" spans="1:10" ht="15.75" thickBot="1">
      <c r="A25" s="27"/>
      <c r="B25" s="27"/>
      <c r="C25" s="832"/>
      <c r="D25" s="832"/>
      <c r="E25" s="832"/>
      <c r="F25" s="833">
        <f>SUM(F4:F24)</f>
        <v>59111.54999999993</v>
      </c>
      <c r="G25" s="832"/>
      <c r="H25" s="833">
        <f>SUM(H4:H24)</f>
        <v>26994.680000000051</v>
      </c>
      <c r="I25" s="832"/>
      <c r="J25" s="833">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7" customWidth="1"/>
    <col min="6" max="6" width="11.7109375" style="437" customWidth="1"/>
    <col min="7" max="7" width="11" style="437" customWidth="1"/>
    <col min="8" max="8" width="11.7109375" style="437" customWidth="1"/>
    <col min="9" max="9" width="11" customWidth="1"/>
    <col min="10" max="10" width="11.7109375" customWidth="1"/>
  </cols>
  <sheetData>
    <row r="1" spans="1:10" ht="15.75" thickBot="1">
      <c r="A1" s="932" t="s">
        <v>214</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705</v>
      </c>
      <c r="G3" s="465" t="s">
        <v>121</v>
      </c>
      <c r="H3" s="473" t="s">
        <v>705</v>
      </c>
      <c r="I3" s="483" t="s">
        <v>121</v>
      </c>
      <c r="J3" s="25" t="s">
        <v>705</v>
      </c>
    </row>
    <row r="4" spans="1:10">
      <c r="A4" s="70">
        <v>43879</v>
      </c>
      <c r="B4" s="71" t="s">
        <v>393</v>
      </c>
      <c r="C4" s="798">
        <v>487980.01</v>
      </c>
      <c r="D4" s="805">
        <f>C4</f>
        <v>487980.01</v>
      </c>
      <c r="E4" s="812">
        <v>488409.51</v>
      </c>
      <c r="F4" s="821">
        <f>IF(ISBLANK(E4),"----",E4-$D4)</f>
        <v>429.5</v>
      </c>
      <c r="G4" s="812" t="s">
        <v>704</v>
      </c>
      <c r="H4" s="821" t="str">
        <f t="shared" ref="H4:H21" si="0">IF(OR(G4="Complete",ISBLANK(G4)),"----",G4-$D4)</f>
        <v>----</v>
      </c>
      <c r="I4" s="809" t="s">
        <v>704</v>
      </c>
      <c r="J4" s="822" t="str">
        <f t="shared" ref="J4:J21" si="1">IF(OR(I4="Complete",ISBLANK(I4)),"----",I4-$D4)</f>
        <v>----</v>
      </c>
    </row>
    <row r="5" spans="1:10">
      <c r="A5" s="102">
        <v>44089</v>
      </c>
      <c r="B5" s="103" t="s">
        <v>581</v>
      </c>
      <c r="C5" s="787">
        <v>818168.13</v>
      </c>
      <c r="D5" s="746">
        <v>353898.12</v>
      </c>
      <c r="E5" s="756">
        <v>357667.43</v>
      </c>
      <c r="F5" s="825">
        <f t="shared" ref="F5:F21" si="2">IF(ISBLANK(E5),"----",E5-$D5)</f>
        <v>3769.3099999999977</v>
      </c>
      <c r="G5" s="756" t="s">
        <v>704</v>
      </c>
      <c r="H5" s="825" t="str">
        <f t="shared" si="0"/>
        <v>----</v>
      </c>
      <c r="I5" s="751" t="s">
        <v>704</v>
      </c>
      <c r="J5" s="826" t="str">
        <f t="shared" si="1"/>
        <v>----</v>
      </c>
    </row>
    <row r="6" spans="1:10">
      <c r="A6" s="88">
        <v>44243</v>
      </c>
      <c r="B6" s="101" t="s">
        <v>392</v>
      </c>
      <c r="C6" s="801">
        <v>629906.27</v>
      </c>
      <c r="D6" s="806">
        <f>C6</f>
        <v>629906.27</v>
      </c>
      <c r="E6" s="813">
        <v>665581.79</v>
      </c>
      <c r="F6" s="825">
        <f t="shared" si="2"/>
        <v>35675.520000000019</v>
      </c>
      <c r="G6" s="813" t="s">
        <v>704</v>
      </c>
      <c r="H6" s="825" t="str">
        <f t="shared" si="0"/>
        <v>----</v>
      </c>
      <c r="I6" s="810" t="s">
        <v>704</v>
      </c>
      <c r="J6" s="826" t="str">
        <f t="shared" si="1"/>
        <v>----</v>
      </c>
    </row>
    <row r="7" spans="1:10">
      <c r="A7" s="102">
        <v>44880</v>
      </c>
      <c r="B7" s="103" t="s">
        <v>588</v>
      </c>
      <c r="C7" s="787">
        <v>503343.15</v>
      </c>
      <c r="D7" s="746">
        <f>C7</f>
        <v>503343.15</v>
      </c>
      <c r="E7" s="756">
        <v>512828.15999999997</v>
      </c>
      <c r="F7" s="825">
        <f t="shared" si="2"/>
        <v>9485.0099999999511</v>
      </c>
      <c r="G7" s="756" t="s">
        <v>704</v>
      </c>
      <c r="H7" s="825" t="str">
        <f t="shared" si="0"/>
        <v>----</v>
      </c>
      <c r="I7" s="751" t="s">
        <v>704</v>
      </c>
      <c r="J7" s="826" t="str">
        <f t="shared" si="1"/>
        <v>----</v>
      </c>
    </row>
    <row r="8" spans="1:10">
      <c r="A8" s="102">
        <v>44915</v>
      </c>
      <c r="B8" s="103" t="s">
        <v>603</v>
      </c>
      <c r="C8" s="787">
        <v>882111.3</v>
      </c>
      <c r="D8" s="746">
        <f>C8</f>
        <v>882111.3</v>
      </c>
      <c r="E8" s="756"/>
      <c r="F8" s="825" t="str">
        <f t="shared" si="2"/>
        <v>----</v>
      </c>
      <c r="G8" s="756">
        <v>879803.49</v>
      </c>
      <c r="H8" s="825">
        <f t="shared" si="0"/>
        <v>-2307.8100000000559</v>
      </c>
      <c r="I8" s="751" t="s">
        <v>704</v>
      </c>
      <c r="J8" s="826" t="str">
        <f t="shared" si="1"/>
        <v>----</v>
      </c>
    </row>
    <row r="9" spans="1:10">
      <c r="A9" s="102">
        <v>45308</v>
      </c>
      <c r="B9" s="103" t="s">
        <v>717</v>
      </c>
      <c r="C9" s="787">
        <v>588907.06000000006</v>
      </c>
      <c r="D9" s="746">
        <f>C9</f>
        <v>588907.06000000006</v>
      </c>
      <c r="E9" s="756"/>
      <c r="F9" s="825" t="str">
        <f t="shared" si="2"/>
        <v>----</v>
      </c>
      <c r="G9" s="756"/>
      <c r="H9" s="825" t="str">
        <f t="shared" si="0"/>
        <v>----</v>
      </c>
      <c r="I9" s="751"/>
      <c r="J9" s="826" t="str">
        <f t="shared" si="1"/>
        <v>----</v>
      </c>
    </row>
    <row r="10" spans="1:10">
      <c r="A10" s="102">
        <v>45679</v>
      </c>
      <c r="B10" s="738" t="s">
        <v>827</v>
      </c>
      <c r="C10" s="787">
        <v>677380.07</v>
      </c>
      <c r="D10" s="746">
        <f>C10</f>
        <v>677380.07</v>
      </c>
      <c r="E10" s="756"/>
      <c r="F10" s="825" t="str">
        <f t="shared" si="2"/>
        <v>----</v>
      </c>
      <c r="G10" s="756"/>
      <c r="H10" s="825" t="str">
        <f t="shared" si="0"/>
        <v>----</v>
      </c>
      <c r="I10" s="751"/>
      <c r="J10" s="826" t="str">
        <f t="shared" si="1"/>
        <v>----</v>
      </c>
    </row>
    <row r="11" spans="1:10">
      <c r="A11" s="102"/>
      <c r="B11" s="103"/>
      <c r="C11" s="787"/>
      <c r="D11" s="746"/>
      <c r="E11" s="756"/>
      <c r="F11" s="825" t="str">
        <f t="shared" si="2"/>
        <v>----</v>
      </c>
      <c r="G11" s="756"/>
      <c r="H11" s="825" t="str">
        <f t="shared" si="0"/>
        <v>----</v>
      </c>
      <c r="I11" s="751"/>
      <c r="J11" s="826" t="str">
        <f t="shared" si="1"/>
        <v>----</v>
      </c>
    </row>
    <row r="12" spans="1:10">
      <c r="A12" s="102"/>
      <c r="B12" s="103"/>
      <c r="C12" s="787"/>
      <c r="D12" s="746"/>
      <c r="E12" s="756"/>
      <c r="F12" s="825" t="str">
        <f t="shared" si="2"/>
        <v>----</v>
      </c>
      <c r="G12" s="756"/>
      <c r="H12" s="825" t="str">
        <f t="shared" si="0"/>
        <v>----</v>
      </c>
      <c r="I12" s="751"/>
      <c r="J12" s="826" t="str">
        <f t="shared" si="1"/>
        <v>----</v>
      </c>
    </row>
    <row r="13" spans="1:10">
      <c r="A13" s="102"/>
      <c r="B13" s="103"/>
      <c r="C13" s="787"/>
      <c r="D13" s="746"/>
      <c r="E13" s="756"/>
      <c r="F13" s="825" t="str">
        <f t="shared" si="2"/>
        <v>----</v>
      </c>
      <c r="G13" s="756"/>
      <c r="H13" s="825" t="str">
        <f t="shared" si="0"/>
        <v>----</v>
      </c>
      <c r="I13" s="751"/>
      <c r="J13" s="826" t="str">
        <f t="shared" si="1"/>
        <v>----</v>
      </c>
    </row>
    <row r="14" spans="1:10">
      <c r="A14" s="102"/>
      <c r="B14" s="103"/>
      <c r="C14" s="787"/>
      <c r="D14" s="746"/>
      <c r="E14" s="756"/>
      <c r="F14" s="825" t="str">
        <f t="shared" si="2"/>
        <v>----</v>
      </c>
      <c r="G14" s="756"/>
      <c r="H14" s="825" t="str">
        <f t="shared" si="0"/>
        <v>----</v>
      </c>
      <c r="I14" s="751"/>
      <c r="J14" s="826" t="str">
        <f t="shared" si="1"/>
        <v>----</v>
      </c>
    </row>
    <row r="15" spans="1:10">
      <c r="A15" s="102"/>
      <c r="B15" s="103"/>
      <c r="C15" s="787"/>
      <c r="D15" s="746"/>
      <c r="E15" s="756"/>
      <c r="F15" s="825" t="str">
        <f t="shared" si="2"/>
        <v>----</v>
      </c>
      <c r="G15" s="756"/>
      <c r="H15" s="825" t="str">
        <f t="shared" si="0"/>
        <v>----</v>
      </c>
      <c r="I15" s="751"/>
      <c r="J15" s="826" t="str">
        <f t="shared" si="1"/>
        <v>----</v>
      </c>
    </row>
    <row r="16" spans="1:10">
      <c r="A16" s="102"/>
      <c r="B16" s="103"/>
      <c r="C16" s="787"/>
      <c r="D16" s="746"/>
      <c r="E16" s="756"/>
      <c r="F16" s="825" t="str">
        <f t="shared" si="2"/>
        <v>----</v>
      </c>
      <c r="G16" s="756"/>
      <c r="H16" s="825" t="str">
        <f t="shared" si="0"/>
        <v>----</v>
      </c>
      <c r="I16" s="751"/>
      <c r="J16" s="826" t="str">
        <f t="shared" si="1"/>
        <v>----</v>
      </c>
    </row>
    <row r="17" spans="1:10">
      <c r="A17" s="102"/>
      <c r="B17" s="103"/>
      <c r="C17" s="787"/>
      <c r="D17" s="746"/>
      <c r="E17" s="756"/>
      <c r="F17" s="825" t="str">
        <f t="shared" si="2"/>
        <v>----</v>
      </c>
      <c r="G17" s="756"/>
      <c r="H17" s="825" t="str">
        <f t="shared" si="0"/>
        <v>----</v>
      </c>
      <c r="I17" s="751"/>
      <c r="J17" s="826" t="str">
        <f t="shared" si="1"/>
        <v>----</v>
      </c>
    </row>
    <row r="18" spans="1:10">
      <c r="A18" s="102"/>
      <c r="B18" s="103"/>
      <c r="C18" s="787"/>
      <c r="D18" s="746"/>
      <c r="E18" s="756"/>
      <c r="F18" s="825" t="str">
        <f t="shared" si="2"/>
        <v>----</v>
      </c>
      <c r="G18" s="756"/>
      <c r="H18" s="825" t="str">
        <f t="shared" si="0"/>
        <v>----</v>
      </c>
      <c r="I18" s="751"/>
      <c r="J18" s="826" t="str">
        <f t="shared" si="1"/>
        <v>----</v>
      </c>
    </row>
    <row r="19" spans="1:10">
      <c r="A19" s="102"/>
      <c r="B19" s="103"/>
      <c r="C19" s="787"/>
      <c r="D19" s="746"/>
      <c r="E19" s="756"/>
      <c r="F19" s="825" t="str">
        <f t="shared" si="2"/>
        <v>----</v>
      </c>
      <c r="G19" s="756"/>
      <c r="H19" s="825" t="str">
        <f t="shared" si="0"/>
        <v>----</v>
      </c>
      <c r="I19" s="751"/>
      <c r="J19" s="826" t="str">
        <f t="shared" si="1"/>
        <v>----</v>
      </c>
    </row>
    <row r="20" spans="1:10">
      <c r="A20" s="116"/>
      <c r="B20" s="117"/>
      <c r="C20" s="790"/>
      <c r="D20" s="807"/>
      <c r="E20" s="757"/>
      <c r="F20" s="825" t="str">
        <f t="shared" si="2"/>
        <v>----</v>
      </c>
      <c r="G20" s="757"/>
      <c r="H20" s="825" t="str">
        <f t="shared" si="0"/>
        <v>----</v>
      </c>
      <c r="I20" s="752"/>
      <c r="J20" s="826" t="str">
        <f t="shared" si="1"/>
        <v>----</v>
      </c>
    </row>
    <row r="21" spans="1:10" ht="15.75" thickBot="1">
      <c r="A21" s="74"/>
      <c r="B21" s="75"/>
      <c r="C21" s="800"/>
      <c r="D21" s="808"/>
      <c r="E21" s="814"/>
      <c r="F21" s="819" t="str">
        <f t="shared" si="2"/>
        <v>----</v>
      </c>
      <c r="G21" s="814"/>
      <c r="H21" s="819" t="str">
        <f t="shared" si="0"/>
        <v>----</v>
      </c>
      <c r="I21" s="811"/>
      <c r="J21" s="820" t="str">
        <f t="shared" si="1"/>
        <v>----</v>
      </c>
    </row>
    <row r="22" spans="1:10" ht="15.75" thickBot="1">
      <c r="A22" s="27"/>
      <c r="B22" s="27"/>
      <c r="C22" s="832"/>
      <c r="D22" s="832"/>
      <c r="E22" s="832"/>
      <c r="F22" s="833">
        <f>SUM(F4:F21)</f>
        <v>49359.339999999967</v>
      </c>
      <c r="G22" s="832"/>
      <c r="H22" s="833">
        <f>SUM(H4:H21)</f>
        <v>-2307.8100000000559</v>
      </c>
      <c r="I22" s="832"/>
      <c r="J22" s="833">
        <f>SUM(J4:J21)</f>
        <v>0</v>
      </c>
    </row>
    <row r="23" spans="1:10">
      <c r="C23" s="736"/>
      <c r="D23" s="736"/>
      <c r="E23" s="736"/>
      <c r="F23" s="736"/>
      <c r="G23" s="736"/>
      <c r="H23" s="736"/>
      <c r="I23" s="736"/>
      <c r="J23" s="73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I14" sqref="I14"/>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789</v>
      </c>
      <c r="B1" s="3"/>
      <c r="C1" s="1"/>
      <c r="D1" s="1"/>
      <c r="E1" s="1"/>
      <c r="F1" s="1"/>
      <c r="G1" s="1"/>
      <c r="H1" s="1"/>
      <c r="I1" s="1"/>
      <c r="J1" s="1"/>
      <c r="K1" s="1"/>
      <c r="L1" s="1"/>
      <c r="M1" s="1"/>
      <c r="N1" s="1"/>
      <c r="O1" s="1"/>
      <c r="P1" s="1"/>
      <c r="Q1" s="1"/>
      <c r="R1" s="1"/>
      <c r="S1" s="1"/>
      <c r="T1" s="1"/>
      <c r="U1" s="1"/>
      <c r="V1" s="1"/>
      <c r="W1" s="1"/>
      <c r="X1" s="1"/>
      <c r="Y1" s="1"/>
      <c r="Z1" s="1"/>
      <c r="AA1" s="1"/>
    </row>
    <row r="2" spans="1:27">
      <c r="B2" s="911" t="s">
        <v>558</v>
      </c>
      <c r="C2" s="912"/>
      <c r="D2" s="913"/>
      <c r="E2" s="134"/>
      <c r="F2" s="293" t="s">
        <v>549</v>
      </c>
      <c r="G2" s="286"/>
      <c r="H2" s="286"/>
    </row>
    <row r="3" spans="1:27">
      <c r="B3" s="299">
        <v>4030719</v>
      </c>
      <c r="C3" s="914" t="s">
        <v>559</v>
      </c>
      <c r="D3" s="915"/>
      <c r="E3" s="304"/>
      <c r="F3" s="297">
        <v>97705648</v>
      </c>
      <c r="G3" s="286"/>
      <c r="H3" s="286"/>
    </row>
    <row r="4" spans="1:27" ht="15.75" thickBot="1">
      <c r="B4" s="299">
        <v>3250000</v>
      </c>
      <c r="C4" s="914" t="s">
        <v>572</v>
      </c>
      <c r="D4" s="915"/>
      <c r="E4" s="304"/>
      <c r="F4" s="294"/>
      <c r="G4" s="286"/>
      <c r="H4" s="919" t="s">
        <v>562</v>
      </c>
      <c r="I4" s="919"/>
      <c r="J4" s="919"/>
      <c r="K4" s="919"/>
    </row>
    <row r="5" spans="1:27" ht="15.75" thickBot="1">
      <c r="B5" s="301">
        <f>B3+B4</f>
        <v>7280719</v>
      </c>
      <c r="C5" s="923" t="s">
        <v>561</v>
      </c>
      <c r="D5" s="924"/>
      <c r="E5" s="304"/>
      <c r="F5" s="293" t="s">
        <v>550</v>
      </c>
      <c r="G5" s="286"/>
      <c r="H5" s="917" t="s">
        <v>558</v>
      </c>
      <c r="I5" s="918"/>
    </row>
    <row r="6" spans="1:27">
      <c r="F6" s="296">
        <f>ROUND(36491438*0.2,0)</f>
        <v>7298288</v>
      </c>
      <c r="G6" s="295"/>
      <c r="H6" s="299">
        <v>4030719</v>
      </c>
      <c r="I6" s="300" t="s">
        <v>559</v>
      </c>
    </row>
    <row r="7" spans="1:27">
      <c r="A7" s="276" t="s">
        <v>521</v>
      </c>
      <c r="B7" s="283" t="s">
        <v>0</v>
      </c>
      <c r="C7" s="284" t="s">
        <v>522</v>
      </c>
      <c r="H7" s="299">
        <v>3250000</v>
      </c>
      <c r="I7" s="300" t="s">
        <v>560</v>
      </c>
    </row>
    <row r="8" spans="1:27" ht="15.75" thickBot="1">
      <c r="A8" t="s">
        <v>526</v>
      </c>
      <c r="B8" s="922">
        <v>93410180</v>
      </c>
      <c r="C8" s="922"/>
      <c r="D8" s="282"/>
      <c r="E8" s="282"/>
      <c r="H8" s="301">
        <f>H6+H7</f>
        <v>7280719</v>
      </c>
      <c r="I8" s="302" t="s">
        <v>561</v>
      </c>
    </row>
    <row r="9" spans="1:27">
      <c r="A9" s="285" t="s">
        <v>527</v>
      </c>
      <c r="B9" s="920">
        <f>67423744+11223466+8149346*0.5</f>
        <v>82721883</v>
      </c>
      <c r="C9" s="920"/>
      <c r="D9" s="282" t="s">
        <v>790</v>
      </c>
      <c r="E9" s="282"/>
    </row>
    <row r="10" spans="1:27">
      <c r="A10" s="2" t="s">
        <v>528</v>
      </c>
      <c r="B10" s="144">
        <v>100</v>
      </c>
      <c r="C10" s="144">
        <f>B10</f>
        <v>100</v>
      </c>
      <c r="D10" t="s">
        <v>529</v>
      </c>
      <c r="I10" s="328" t="s">
        <v>785</v>
      </c>
    </row>
    <row r="11" spans="1:27">
      <c r="A11" s="2" t="s">
        <v>542</v>
      </c>
      <c r="B11" s="277">
        <v>0.80100000000000005</v>
      </c>
      <c r="C11" s="277">
        <v>0.19900000000000001</v>
      </c>
      <c r="D11" s="277"/>
      <c r="E11" s="277"/>
      <c r="G11" s="22"/>
      <c r="I11" s="670" t="s">
        <v>791</v>
      </c>
    </row>
    <row r="12" spans="1:27">
      <c r="A12" s="285" t="s">
        <v>541</v>
      </c>
      <c r="B12" s="287">
        <f>ROUND((B9-H6)*B11,0)</f>
        <v>63031622</v>
      </c>
      <c r="C12" s="287">
        <f>ROUND((B9-H6)*C11,0)</f>
        <v>15659542</v>
      </c>
    </row>
    <row r="13" spans="1:27">
      <c r="A13" s="285" t="s">
        <v>531</v>
      </c>
      <c r="B13" s="287">
        <v>-2000000</v>
      </c>
      <c r="C13" s="9"/>
      <c r="D13" s="282"/>
      <c r="E13" s="282"/>
      <c r="F13" s="29"/>
    </row>
    <row r="14" spans="1:27">
      <c r="A14" s="2" t="s">
        <v>539</v>
      </c>
      <c r="B14" s="9"/>
      <c r="C14" s="9">
        <f>4030719-H7</f>
        <v>780719</v>
      </c>
      <c r="D14" s="303" t="s">
        <v>571</v>
      </c>
      <c r="E14" s="303"/>
    </row>
    <row r="15" spans="1:27">
      <c r="A15" s="285" t="s">
        <v>570</v>
      </c>
      <c r="B15" s="330">
        <f>-H7</f>
        <v>-3250000</v>
      </c>
      <c r="C15" s="289">
        <f>H7</f>
        <v>3250000</v>
      </c>
      <c r="D15" s="303" t="s">
        <v>633</v>
      </c>
      <c r="E15" s="303"/>
    </row>
    <row r="16" spans="1:27">
      <c r="A16" s="290" t="s">
        <v>544</v>
      </c>
      <c r="B16" s="291">
        <f>B12+B13-H7</f>
        <v>57781622</v>
      </c>
      <c r="C16" s="291">
        <f>C12+C14+C15</f>
        <v>19690261</v>
      </c>
      <c r="D16" s="282"/>
      <c r="E16" s="282"/>
    </row>
    <row r="17" spans="1:9">
      <c r="A17" s="2"/>
      <c r="B17" s="9"/>
    </row>
    <row r="18" spans="1:9" ht="14.45" customHeight="1">
      <c r="A18" s="2" t="s">
        <v>524</v>
      </c>
      <c r="B18" s="922">
        <v>37914363</v>
      </c>
      <c r="C18" s="922"/>
      <c r="D18" s="282"/>
      <c r="E18" s="282"/>
      <c r="F18" s="916" t="s">
        <v>557</v>
      </c>
      <c r="G18" s="916"/>
      <c r="H18" s="916"/>
    </row>
    <row r="19" spans="1:9">
      <c r="A19" s="2" t="s">
        <v>525</v>
      </c>
      <c r="B19" s="921">
        <v>0.51800000000000002</v>
      </c>
      <c r="C19" s="921"/>
      <c r="D19" s="277" t="s">
        <v>675</v>
      </c>
      <c r="E19" s="277"/>
      <c r="F19" s="916"/>
      <c r="G19" s="916"/>
      <c r="H19" s="916"/>
    </row>
    <row r="20" spans="1:9">
      <c r="A20" s="285" t="s">
        <v>523</v>
      </c>
      <c r="B20" s="920">
        <v>0</v>
      </c>
      <c r="C20" s="920"/>
      <c r="D20" s="282"/>
      <c r="E20" s="282"/>
      <c r="F20" s="916"/>
      <c r="G20" s="916"/>
      <c r="H20" s="916"/>
    </row>
    <row r="21" spans="1:9">
      <c r="A21" s="2" t="s">
        <v>532</v>
      </c>
      <c r="B21" s="277">
        <f>B11</f>
        <v>0.80100000000000005</v>
      </c>
      <c r="C21" s="277">
        <f>C11</f>
        <v>0.19900000000000001</v>
      </c>
      <c r="D21" s="277"/>
      <c r="E21" s="277"/>
      <c r="F21" s="916"/>
      <c r="G21" s="916"/>
      <c r="H21" s="916"/>
    </row>
    <row r="22" spans="1:9">
      <c r="A22" s="285" t="s">
        <v>540</v>
      </c>
      <c r="B22" s="287">
        <f>ROUND(B20*B21,0)</f>
        <v>0</v>
      </c>
      <c r="C22" s="287">
        <f>ROUND(B20*C21,0)</f>
        <v>0</v>
      </c>
      <c r="D22" s="282"/>
      <c r="E22" s="282"/>
      <c r="F22" s="298"/>
      <c r="G22" s="298"/>
      <c r="H22" s="298"/>
    </row>
    <row r="23" spans="1:9" ht="15" customHeight="1">
      <c r="A23" s="285" t="s">
        <v>530</v>
      </c>
      <c r="B23" s="287">
        <v>0</v>
      </c>
      <c r="C23" s="287"/>
      <c r="D23" s="282"/>
      <c r="E23" s="282"/>
      <c r="F23" s="298"/>
      <c r="G23" s="910" t="s">
        <v>662</v>
      </c>
      <c r="H23" s="910"/>
      <c r="I23" s="910"/>
    </row>
    <row r="24" spans="1:9">
      <c r="A24" s="290" t="s">
        <v>543</v>
      </c>
      <c r="B24" s="291">
        <f>B22-B23</f>
        <v>0</v>
      </c>
      <c r="C24" s="291">
        <f>C22-C23</f>
        <v>0</v>
      </c>
      <c r="D24" s="282"/>
      <c r="E24" s="282"/>
      <c r="G24" s="910"/>
      <c r="H24" s="910"/>
      <c r="I24" s="910"/>
    </row>
    <row r="25" spans="1:9" s="293" customFormat="1">
      <c r="A25" s="278"/>
      <c r="B25" s="281"/>
      <c r="C25" s="281"/>
      <c r="D25" s="329"/>
      <c r="E25" s="329"/>
    </row>
    <row r="26" spans="1:9" s="293" customFormat="1">
      <c r="A26" s="278"/>
      <c r="B26" s="281"/>
      <c r="C26" s="281"/>
      <c r="D26" s="329"/>
      <c r="E26" s="329"/>
      <c r="G26" s="910" t="s">
        <v>663</v>
      </c>
      <c r="H26" s="910"/>
      <c r="I26" s="910"/>
    </row>
    <row r="27" spans="1:9">
      <c r="B27" s="288"/>
      <c r="C27" s="288"/>
      <c r="D27" s="4" t="s">
        <v>637</v>
      </c>
      <c r="E27" s="4"/>
      <c r="G27" s="910"/>
      <c r="H27" s="910"/>
      <c r="I27" s="910"/>
    </row>
    <row r="28" spans="1:9">
      <c r="A28" s="290" t="s">
        <v>634</v>
      </c>
      <c r="B28" s="291">
        <f>B16+B24</f>
        <v>57781622</v>
      </c>
      <c r="C28" s="291">
        <f>C16+C24</f>
        <v>19690261</v>
      </c>
      <c r="D28" s="282">
        <f>B28+C28</f>
        <v>77471883</v>
      </c>
      <c r="E28" s="282"/>
    </row>
    <row r="29" spans="1:9">
      <c r="A29" s="290" t="s">
        <v>635</v>
      </c>
      <c r="B29" s="291">
        <f>-B13+B16+B22</f>
        <v>59781622</v>
      </c>
      <c r="C29" s="291">
        <f>C16+C24</f>
        <v>19690261</v>
      </c>
      <c r="D29" s="282">
        <f t="shared" ref="D29:D30" si="0">B29+C29</f>
        <v>79471883</v>
      </c>
      <c r="G29" s="910" t="s">
        <v>786</v>
      </c>
      <c r="H29" s="910"/>
      <c r="I29" s="910"/>
    </row>
    <row r="30" spans="1:9">
      <c r="A30" s="290" t="s">
        <v>636</v>
      </c>
      <c r="B30" s="291">
        <f>-B13-B15+B16+B22</f>
        <v>63031622</v>
      </c>
      <c r="C30" s="291">
        <f>C16+C24</f>
        <v>19690261</v>
      </c>
      <c r="D30" s="282">
        <f t="shared" si="0"/>
        <v>82721883</v>
      </c>
      <c r="G30" s="910"/>
      <c r="H30" s="910"/>
      <c r="I30" s="910"/>
    </row>
    <row r="31" spans="1:9">
      <c r="A31" s="278"/>
      <c r="B31" s="279"/>
    </row>
    <row r="32" spans="1:9">
      <c r="A32" s="278"/>
      <c r="B32" s="280"/>
    </row>
    <row r="33" spans="1:2">
      <c r="A33" s="278"/>
      <c r="B33" s="281"/>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7" bestFit="1" customWidth="1"/>
    <col min="6" max="6" width="14.7109375" style="437" customWidth="1"/>
    <col min="7" max="7" width="10.140625" style="437" bestFit="1" customWidth="1"/>
    <col min="8" max="8" width="14.7109375" style="437" customWidth="1"/>
    <col min="9" max="9" width="10.140625" bestFit="1" customWidth="1"/>
    <col min="10" max="10" width="14.7109375" customWidth="1"/>
  </cols>
  <sheetData>
    <row r="1" spans="1:10" ht="15.75" thickBot="1">
      <c r="A1" s="932" t="s">
        <v>152</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6.5" thickBot="1">
      <c r="A3" s="940"/>
      <c r="B3" s="942"/>
      <c r="C3" s="942"/>
      <c r="D3" s="954"/>
      <c r="E3" s="465" t="s">
        <v>121</v>
      </c>
      <c r="F3" s="473" t="s">
        <v>705</v>
      </c>
      <c r="G3" s="465" t="s">
        <v>121</v>
      </c>
      <c r="H3" s="473" t="s">
        <v>705</v>
      </c>
      <c r="I3" s="483" t="s">
        <v>121</v>
      </c>
      <c r="J3" s="25" t="s">
        <v>705</v>
      </c>
    </row>
    <row r="4" spans="1:10">
      <c r="A4" s="70">
        <v>43816</v>
      </c>
      <c r="B4" s="71" t="s">
        <v>648</v>
      </c>
      <c r="C4" s="72">
        <v>152538.85999999999</v>
      </c>
      <c r="D4" s="434">
        <f>C4</f>
        <v>152538.85999999999</v>
      </c>
      <c r="E4" s="474">
        <v>153305.99</v>
      </c>
      <c r="F4" s="475">
        <f>IF(ISBLANK(E4),"----",E4-$D4)</f>
        <v>767.13000000000466</v>
      </c>
      <c r="G4" s="474" t="s">
        <v>704</v>
      </c>
      <c r="H4" s="475" t="str">
        <f t="shared" ref="H4:H18" si="0">IF(OR(G4="Complete",ISBLANK(G4)),"----",G4-$D4)</f>
        <v>----</v>
      </c>
      <c r="I4" s="484" t="s">
        <v>704</v>
      </c>
      <c r="J4" s="73" t="str">
        <f t="shared" ref="J4:J18" si="1">IF(OR(I4="Complete",ISBLANK(I4)),"----",I4-$D4)</f>
        <v>----</v>
      </c>
    </row>
    <row r="5" spans="1:10">
      <c r="A5" s="88">
        <v>45097</v>
      </c>
      <c r="B5" s="101" t="s">
        <v>647</v>
      </c>
      <c r="C5" s="82">
        <v>523952.6</v>
      </c>
      <c r="D5" s="436">
        <f>C5</f>
        <v>523952.6</v>
      </c>
      <c r="E5" s="476"/>
      <c r="F5" s="477" t="str">
        <f t="shared" ref="F5:F18" si="2">IF(ISBLANK(E5),"----",E5-$D5)</f>
        <v>----</v>
      </c>
      <c r="G5" s="476"/>
      <c r="H5" s="477" t="str">
        <f t="shared" si="0"/>
        <v>----</v>
      </c>
      <c r="I5" s="489"/>
      <c r="J5" s="83" t="str">
        <f t="shared" si="1"/>
        <v>----</v>
      </c>
    </row>
    <row r="6" spans="1:10">
      <c r="A6" s="102"/>
      <c r="B6" s="103"/>
      <c r="C6" s="87"/>
      <c r="D6" s="471"/>
      <c r="E6" s="478"/>
      <c r="F6" s="490" t="str">
        <f t="shared" si="2"/>
        <v>----</v>
      </c>
      <c r="G6" s="478"/>
      <c r="H6" s="490" t="str">
        <f t="shared" si="0"/>
        <v>----</v>
      </c>
      <c r="I6" s="491"/>
      <c r="J6" s="115" t="str">
        <f t="shared" si="1"/>
        <v>----</v>
      </c>
    </row>
    <row r="7" spans="1:10">
      <c r="A7" s="102"/>
      <c r="B7" s="103"/>
      <c r="C7" s="87"/>
      <c r="D7" s="471"/>
      <c r="E7" s="478"/>
      <c r="F7" s="490" t="str">
        <f t="shared" si="2"/>
        <v>----</v>
      </c>
      <c r="G7" s="478"/>
      <c r="H7" s="490" t="str">
        <f t="shared" si="0"/>
        <v>----</v>
      </c>
      <c r="I7" s="491"/>
      <c r="J7" s="115" t="str">
        <f t="shared" si="1"/>
        <v>----</v>
      </c>
    </row>
    <row r="8" spans="1:10">
      <c r="A8" s="102"/>
      <c r="B8" s="103"/>
      <c r="C8" s="87"/>
      <c r="D8" s="471"/>
      <c r="E8" s="478"/>
      <c r="F8" s="490" t="str">
        <f t="shared" si="2"/>
        <v>----</v>
      </c>
      <c r="G8" s="478"/>
      <c r="H8" s="490" t="str">
        <f t="shared" si="0"/>
        <v>----</v>
      </c>
      <c r="I8" s="491"/>
      <c r="J8" s="115" t="str">
        <f t="shared" si="1"/>
        <v>----</v>
      </c>
    </row>
    <row r="9" spans="1:10">
      <c r="A9" s="102"/>
      <c r="B9" s="103"/>
      <c r="C9" s="87"/>
      <c r="D9" s="471"/>
      <c r="E9" s="478"/>
      <c r="F9" s="490" t="str">
        <f t="shared" si="2"/>
        <v>----</v>
      </c>
      <c r="G9" s="478"/>
      <c r="H9" s="490" t="str">
        <f t="shared" si="0"/>
        <v>----</v>
      </c>
      <c r="I9" s="491"/>
      <c r="J9" s="115" t="str">
        <f t="shared" si="1"/>
        <v>----</v>
      </c>
    </row>
    <row r="10" spans="1:10">
      <c r="A10" s="102"/>
      <c r="B10" s="103"/>
      <c r="C10" s="87"/>
      <c r="D10" s="471"/>
      <c r="E10" s="478"/>
      <c r="F10" s="490" t="str">
        <f t="shared" si="2"/>
        <v>----</v>
      </c>
      <c r="G10" s="478"/>
      <c r="H10" s="490" t="str">
        <f t="shared" si="0"/>
        <v>----</v>
      </c>
      <c r="I10" s="491"/>
      <c r="J10" s="115" t="str">
        <f t="shared" si="1"/>
        <v>----</v>
      </c>
    </row>
    <row r="11" spans="1:10">
      <c r="A11" s="102"/>
      <c r="B11" s="103"/>
      <c r="C11" s="87"/>
      <c r="D11" s="471"/>
      <c r="E11" s="478"/>
      <c r="F11" s="490" t="str">
        <f t="shared" si="2"/>
        <v>----</v>
      </c>
      <c r="G11" s="478"/>
      <c r="H11" s="490" t="str">
        <f t="shared" si="0"/>
        <v>----</v>
      </c>
      <c r="I11" s="491"/>
      <c r="J11" s="115" t="str">
        <f t="shared" si="1"/>
        <v>----</v>
      </c>
    </row>
    <row r="12" spans="1:10">
      <c r="A12" s="102"/>
      <c r="B12" s="103"/>
      <c r="C12" s="87"/>
      <c r="D12" s="471"/>
      <c r="E12" s="478"/>
      <c r="F12" s="490" t="str">
        <f t="shared" si="2"/>
        <v>----</v>
      </c>
      <c r="G12" s="478"/>
      <c r="H12" s="490" t="str">
        <f t="shared" si="0"/>
        <v>----</v>
      </c>
      <c r="I12" s="491"/>
      <c r="J12" s="115" t="str">
        <f t="shared" si="1"/>
        <v>----</v>
      </c>
    </row>
    <row r="13" spans="1:10">
      <c r="A13" s="102"/>
      <c r="B13" s="103"/>
      <c r="C13" s="87"/>
      <c r="D13" s="471"/>
      <c r="E13" s="478"/>
      <c r="F13" s="490" t="str">
        <f t="shared" si="2"/>
        <v>----</v>
      </c>
      <c r="G13" s="478"/>
      <c r="H13" s="490" t="str">
        <f t="shared" si="0"/>
        <v>----</v>
      </c>
      <c r="I13" s="491"/>
      <c r="J13" s="115" t="str">
        <f t="shared" si="1"/>
        <v>----</v>
      </c>
    </row>
    <row r="14" spans="1:10">
      <c r="A14" s="102"/>
      <c r="B14" s="103"/>
      <c r="C14" s="87"/>
      <c r="D14" s="471"/>
      <c r="E14" s="478"/>
      <c r="F14" s="490" t="str">
        <f t="shared" si="2"/>
        <v>----</v>
      </c>
      <c r="G14" s="478"/>
      <c r="H14" s="490" t="str">
        <f t="shared" si="0"/>
        <v>----</v>
      </c>
      <c r="I14" s="491"/>
      <c r="J14" s="115" t="str">
        <f t="shared" si="1"/>
        <v>----</v>
      </c>
    </row>
    <row r="15" spans="1:10">
      <c r="A15" s="102"/>
      <c r="B15" s="103"/>
      <c r="C15" s="87"/>
      <c r="D15" s="471"/>
      <c r="E15" s="478"/>
      <c r="F15" s="490" t="str">
        <f t="shared" si="2"/>
        <v>----</v>
      </c>
      <c r="G15" s="478"/>
      <c r="H15" s="490" t="str">
        <f t="shared" si="0"/>
        <v>----</v>
      </c>
      <c r="I15" s="491"/>
      <c r="J15" s="115" t="str">
        <f t="shared" si="1"/>
        <v>----</v>
      </c>
    </row>
    <row r="16" spans="1:10">
      <c r="A16" s="102"/>
      <c r="B16" s="103"/>
      <c r="C16" s="87"/>
      <c r="D16" s="471"/>
      <c r="E16" s="478"/>
      <c r="F16" s="490" t="str">
        <f t="shared" si="2"/>
        <v>----</v>
      </c>
      <c r="G16" s="478"/>
      <c r="H16" s="490" t="str">
        <f t="shared" si="0"/>
        <v>----</v>
      </c>
      <c r="I16" s="491"/>
      <c r="J16" s="115" t="str">
        <f t="shared" si="1"/>
        <v>----</v>
      </c>
    </row>
    <row r="17" spans="1:10">
      <c r="A17" s="116"/>
      <c r="B17" s="117"/>
      <c r="C17" s="118"/>
      <c r="D17" s="472"/>
      <c r="E17" s="479"/>
      <c r="F17" s="492" t="str">
        <f t="shared" si="2"/>
        <v>----</v>
      </c>
      <c r="G17" s="479"/>
      <c r="H17" s="492" t="str">
        <f t="shared" si="0"/>
        <v>----</v>
      </c>
      <c r="I17" s="493"/>
      <c r="J17" s="119" t="str">
        <f t="shared" si="1"/>
        <v>----</v>
      </c>
    </row>
    <row r="18" spans="1:10" ht="15.75" thickBot="1">
      <c r="A18" s="74"/>
      <c r="B18" s="75"/>
      <c r="C18" s="76"/>
      <c r="D18" s="435"/>
      <c r="E18" s="480"/>
      <c r="F18" s="481" t="str">
        <f t="shared" si="2"/>
        <v>----</v>
      </c>
      <c r="G18" s="480"/>
      <c r="H18" s="481" t="str">
        <f t="shared" si="0"/>
        <v>----</v>
      </c>
      <c r="I18" s="486"/>
      <c r="J18" s="77" t="str">
        <f t="shared" si="1"/>
        <v>----</v>
      </c>
    </row>
    <row r="19" spans="1:10" ht="15.75" thickBot="1">
      <c r="A19" s="27"/>
      <c r="B19" s="27"/>
      <c r="C19" s="28"/>
      <c r="D19" s="28"/>
      <c r="E19" s="444"/>
      <c r="F19" s="446">
        <f>SUM(F4:F18)</f>
        <v>767.13000000000466</v>
      </c>
      <c r="G19" s="444"/>
      <c r="H19" s="446">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7" bestFit="1" customWidth="1"/>
    <col min="6" max="6" width="9.42578125" style="437" customWidth="1"/>
    <col min="7" max="7" width="10.7109375" style="437" bestFit="1" customWidth="1"/>
    <col min="8" max="8" width="9.42578125" style="437" customWidth="1"/>
    <col min="9" max="9" width="8.42578125" bestFit="1" customWidth="1"/>
    <col min="10" max="10" width="9.42578125" customWidth="1"/>
  </cols>
  <sheetData>
    <row r="1" spans="1:10" ht="15.75" thickBot="1">
      <c r="A1" s="932" t="s">
        <v>252</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44516</v>
      </c>
      <c r="B4" s="71" t="s">
        <v>463</v>
      </c>
      <c r="C4" s="798">
        <v>879845.12</v>
      </c>
      <c r="D4" s="805">
        <f>C4</f>
        <v>879845.12</v>
      </c>
      <c r="E4" s="812"/>
      <c r="F4" s="821" t="str">
        <f>IF(ISBLANK(E4),"----",E4-$D4)</f>
        <v>----</v>
      </c>
      <c r="G4" s="812">
        <v>883737.93</v>
      </c>
      <c r="H4" s="821">
        <f t="shared" ref="H4:H22" si="0">IF(OR(G4="Complete",ISBLANK(G4)),"----",G4-$D4)</f>
        <v>3892.8100000000559</v>
      </c>
      <c r="I4" s="809" t="s">
        <v>704</v>
      </c>
      <c r="J4" s="822" t="str">
        <f t="shared" ref="J4:J22" si="1">IF(OR(I4="Complete",ISBLANK(I4)),"----",I4-$D4)</f>
        <v>----</v>
      </c>
    </row>
    <row r="5" spans="1:10">
      <c r="A5" s="88">
        <v>44733</v>
      </c>
      <c r="B5" s="101" t="s">
        <v>536</v>
      </c>
      <c r="C5" s="801">
        <v>591209.19999999995</v>
      </c>
      <c r="D5" s="806">
        <f>C5</f>
        <v>591209.19999999995</v>
      </c>
      <c r="E5" s="813"/>
      <c r="F5" s="825" t="str">
        <f t="shared" ref="F5:F22" si="2">IF(ISBLANK(E5),"----",E5-$D5)</f>
        <v>----</v>
      </c>
      <c r="G5" s="813"/>
      <c r="H5" s="825" t="str">
        <f t="shared" si="0"/>
        <v>----</v>
      </c>
      <c r="I5" s="810"/>
      <c r="J5" s="826" t="str">
        <f t="shared" si="1"/>
        <v>----</v>
      </c>
    </row>
    <row r="6" spans="1:10">
      <c r="A6" s="88">
        <v>45342</v>
      </c>
      <c r="B6" s="453" t="s">
        <v>726</v>
      </c>
      <c r="C6" s="801">
        <v>919921.77</v>
      </c>
      <c r="D6" s="806">
        <f>C6</f>
        <v>919921.77</v>
      </c>
      <c r="E6" s="813"/>
      <c r="F6" s="825" t="str">
        <f t="shared" si="2"/>
        <v>----</v>
      </c>
      <c r="G6" s="813"/>
      <c r="H6" s="825" t="str">
        <f t="shared" si="0"/>
        <v>----</v>
      </c>
      <c r="I6" s="810"/>
      <c r="J6" s="826" t="str">
        <f t="shared" si="1"/>
        <v>----</v>
      </c>
    </row>
    <row r="7" spans="1:10">
      <c r="A7" s="88">
        <v>45706</v>
      </c>
      <c r="B7" s="714" t="s">
        <v>838</v>
      </c>
      <c r="C7" s="801">
        <v>1491087.15</v>
      </c>
      <c r="D7" s="806">
        <f>C7</f>
        <v>1491087.15</v>
      </c>
      <c r="E7" s="813"/>
      <c r="F7" s="825" t="str">
        <f t="shared" si="2"/>
        <v>----</v>
      </c>
      <c r="G7" s="813"/>
      <c r="H7" s="825" t="str">
        <f t="shared" si="0"/>
        <v>----</v>
      </c>
      <c r="I7" s="810"/>
      <c r="J7" s="826" t="str">
        <f t="shared" si="1"/>
        <v>----</v>
      </c>
    </row>
    <row r="8" spans="1:10">
      <c r="A8" s="88"/>
      <c r="B8" s="101"/>
      <c r="C8" s="801"/>
      <c r="D8" s="806"/>
      <c r="E8" s="813"/>
      <c r="F8" s="825" t="str">
        <f t="shared" si="2"/>
        <v>----</v>
      </c>
      <c r="G8" s="813"/>
      <c r="H8" s="825" t="str">
        <f t="shared" si="0"/>
        <v>----</v>
      </c>
      <c r="I8" s="810"/>
      <c r="J8" s="826" t="str">
        <f t="shared" si="1"/>
        <v>----</v>
      </c>
    </row>
    <row r="9" spans="1:10">
      <c r="A9" s="88"/>
      <c r="B9" s="101"/>
      <c r="C9" s="801"/>
      <c r="D9" s="806"/>
      <c r="E9" s="813"/>
      <c r="F9" s="825" t="str">
        <f t="shared" si="2"/>
        <v>----</v>
      </c>
      <c r="G9" s="813"/>
      <c r="H9" s="825" t="str">
        <f t="shared" si="0"/>
        <v>----</v>
      </c>
      <c r="I9" s="810"/>
      <c r="J9" s="826" t="str">
        <f t="shared" si="1"/>
        <v>----</v>
      </c>
    </row>
    <row r="10" spans="1:10">
      <c r="A10" s="88"/>
      <c r="B10" s="101"/>
      <c r="C10" s="801"/>
      <c r="D10" s="806"/>
      <c r="E10" s="813"/>
      <c r="F10" s="825" t="str">
        <f t="shared" si="2"/>
        <v>----</v>
      </c>
      <c r="G10" s="813"/>
      <c r="H10" s="825" t="str">
        <f t="shared" si="0"/>
        <v>----</v>
      </c>
      <c r="I10" s="810"/>
      <c r="J10" s="826" t="str">
        <f t="shared" si="1"/>
        <v>----</v>
      </c>
    </row>
    <row r="11" spans="1:10">
      <c r="A11" s="88"/>
      <c r="B11" s="101"/>
      <c r="C11" s="801"/>
      <c r="D11" s="806"/>
      <c r="E11" s="813"/>
      <c r="F11" s="825" t="str">
        <f t="shared" si="2"/>
        <v>----</v>
      </c>
      <c r="G11" s="813"/>
      <c r="H11" s="825" t="str">
        <f t="shared" si="0"/>
        <v>----</v>
      </c>
      <c r="I11" s="810"/>
      <c r="J11" s="826" t="str">
        <f t="shared" si="1"/>
        <v>----</v>
      </c>
    </row>
    <row r="12" spans="1:10">
      <c r="A12" s="88"/>
      <c r="B12" s="101"/>
      <c r="C12" s="801"/>
      <c r="D12" s="806"/>
      <c r="E12" s="813"/>
      <c r="F12" s="825" t="str">
        <f t="shared" si="2"/>
        <v>----</v>
      </c>
      <c r="G12" s="813"/>
      <c r="H12" s="825" t="str">
        <f t="shared" si="0"/>
        <v>----</v>
      </c>
      <c r="I12" s="810"/>
      <c r="J12" s="826" t="str">
        <f t="shared" si="1"/>
        <v>----</v>
      </c>
    </row>
    <row r="13" spans="1:10">
      <c r="A13" s="88"/>
      <c r="B13" s="101"/>
      <c r="C13" s="801"/>
      <c r="D13" s="806"/>
      <c r="E13" s="813"/>
      <c r="F13" s="825" t="str">
        <f t="shared" si="2"/>
        <v>----</v>
      </c>
      <c r="G13" s="813"/>
      <c r="H13" s="825" t="str">
        <f t="shared" si="0"/>
        <v>----</v>
      </c>
      <c r="I13" s="810"/>
      <c r="J13" s="826" t="str">
        <f t="shared" si="1"/>
        <v>----</v>
      </c>
    </row>
    <row r="14" spans="1:10">
      <c r="A14" s="88"/>
      <c r="B14" s="101"/>
      <c r="C14" s="801"/>
      <c r="D14" s="806"/>
      <c r="E14" s="813"/>
      <c r="F14" s="825" t="str">
        <f t="shared" si="2"/>
        <v>----</v>
      </c>
      <c r="G14" s="813"/>
      <c r="H14" s="825" t="str">
        <f t="shared" si="0"/>
        <v>----</v>
      </c>
      <c r="I14" s="810"/>
      <c r="J14" s="826" t="str">
        <f t="shared" si="1"/>
        <v>----</v>
      </c>
    </row>
    <row r="15" spans="1:10">
      <c r="A15" s="88"/>
      <c r="B15" s="101"/>
      <c r="C15" s="801"/>
      <c r="D15" s="806"/>
      <c r="E15" s="813"/>
      <c r="F15" s="825" t="str">
        <f t="shared" si="2"/>
        <v>----</v>
      </c>
      <c r="G15" s="813"/>
      <c r="H15" s="825" t="str">
        <f t="shared" si="0"/>
        <v>----</v>
      </c>
      <c r="I15" s="810"/>
      <c r="J15" s="826" t="str">
        <f t="shared" si="1"/>
        <v>----</v>
      </c>
    </row>
    <row r="16" spans="1:10">
      <c r="A16" s="88"/>
      <c r="B16" s="101"/>
      <c r="C16" s="801"/>
      <c r="D16" s="806"/>
      <c r="E16" s="813"/>
      <c r="F16" s="825" t="str">
        <f t="shared" si="2"/>
        <v>----</v>
      </c>
      <c r="G16" s="813"/>
      <c r="H16" s="825" t="str">
        <f t="shared" si="0"/>
        <v>----</v>
      </c>
      <c r="I16" s="810"/>
      <c r="J16" s="826" t="str">
        <f t="shared" si="1"/>
        <v>----</v>
      </c>
    </row>
    <row r="17" spans="1:10">
      <c r="A17" s="88"/>
      <c r="B17" s="101"/>
      <c r="C17" s="801"/>
      <c r="D17" s="806"/>
      <c r="E17" s="813"/>
      <c r="F17" s="825" t="str">
        <f t="shared" si="2"/>
        <v>----</v>
      </c>
      <c r="G17" s="813"/>
      <c r="H17" s="825" t="str">
        <f t="shared" si="0"/>
        <v>----</v>
      </c>
      <c r="I17" s="810"/>
      <c r="J17" s="826" t="str">
        <f t="shared" si="1"/>
        <v>----</v>
      </c>
    </row>
    <row r="18" spans="1:10">
      <c r="A18" s="88"/>
      <c r="B18" s="101"/>
      <c r="C18" s="801"/>
      <c r="D18" s="806"/>
      <c r="E18" s="813"/>
      <c r="F18" s="825" t="str">
        <f t="shared" si="2"/>
        <v>----</v>
      </c>
      <c r="G18" s="813"/>
      <c r="H18" s="825" t="str">
        <f t="shared" si="0"/>
        <v>----</v>
      </c>
      <c r="I18" s="810"/>
      <c r="J18" s="826" t="str">
        <f t="shared" si="1"/>
        <v>----</v>
      </c>
    </row>
    <row r="19" spans="1:10">
      <c r="A19" s="88"/>
      <c r="B19" s="101"/>
      <c r="C19" s="801"/>
      <c r="D19" s="806"/>
      <c r="E19" s="813"/>
      <c r="F19" s="825" t="str">
        <f t="shared" si="2"/>
        <v>----</v>
      </c>
      <c r="G19" s="813"/>
      <c r="H19" s="825" t="str">
        <f t="shared" si="0"/>
        <v>----</v>
      </c>
      <c r="I19" s="810"/>
      <c r="J19" s="826" t="str">
        <f t="shared" si="1"/>
        <v>----</v>
      </c>
    </row>
    <row r="20" spans="1:10">
      <c r="A20" s="88"/>
      <c r="B20" s="101"/>
      <c r="C20" s="801"/>
      <c r="D20" s="806"/>
      <c r="E20" s="813"/>
      <c r="F20" s="825" t="str">
        <f t="shared" si="2"/>
        <v>----</v>
      </c>
      <c r="G20" s="813"/>
      <c r="H20" s="825" t="str">
        <f t="shared" si="0"/>
        <v>----</v>
      </c>
      <c r="I20" s="810"/>
      <c r="J20" s="826" t="str">
        <f t="shared" si="1"/>
        <v>----</v>
      </c>
    </row>
    <row r="21" spans="1:10">
      <c r="A21" s="88"/>
      <c r="B21" s="101"/>
      <c r="C21" s="801"/>
      <c r="D21" s="806"/>
      <c r="E21" s="813"/>
      <c r="F21" s="825" t="str">
        <f t="shared" si="2"/>
        <v>----</v>
      </c>
      <c r="G21" s="813"/>
      <c r="H21" s="825" t="str">
        <f t="shared" si="0"/>
        <v>----</v>
      </c>
      <c r="I21" s="810"/>
      <c r="J21" s="826" t="str">
        <f t="shared" si="1"/>
        <v>----</v>
      </c>
    </row>
    <row r="22" spans="1:10" ht="15.75" thickBot="1">
      <c r="A22" s="74"/>
      <c r="B22" s="75"/>
      <c r="C22" s="800"/>
      <c r="D22" s="808"/>
      <c r="E22" s="814"/>
      <c r="F22" s="819" t="str">
        <f t="shared" si="2"/>
        <v>----</v>
      </c>
      <c r="G22" s="814"/>
      <c r="H22" s="819" t="str">
        <f t="shared" si="0"/>
        <v>----</v>
      </c>
      <c r="I22" s="811"/>
      <c r="J22" s="820" t="str">
        <f t="shared" si="1"/>
        <v>----</v>
      </c>
    </row>
    <row r="23" spans="1:10" ht="15.75" thickBot="1">
      <c r="A23" s="27"/>
      <c r="B23" s="27"/>
      <c r="C23" s="832"/>
      <c r="D23" s="832"/>
      <c r="E23" s="832"/>
      <c r="F23" s="833">
        <f>SUM(F4:F22)</f>
        <v>0</v>
      </c>
      <c r="G23" s="832"/>
      <c r="H23" s="833">
        <f>SUM(H4:H22)</f>
        <v>3892.8100000000559</v>
      </c>
      <c r="I23" s="832"/>
      <c r="J23" s="833">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D15" sqref="D15"/>
    </sheetView>
  </sheetViews>
  <sheetFormatPr defaultRowHeight="15"/>
  <cols>
    <col min="2" max="2" width="22.85546875" bestFit="1" customWidth="1"/>
    <col min="3" max="3" width="12" bestFit="1" customWidth="1"/>
    <col min="4" max="4" width="13.140625" customWidth="1"/>
    <col min="5" max="5" width="12" style="437" bestFit="1" customWidth="1"/>
    <col min="6" max="6" width="13" style="437" customWidth="1"/>
    <col min="7" max="7" width="11.42578125" style="437" bestFit="1" customWidth="1"/>
    <col min="8" max="8" width="13" style="437" customWidth="1"/>
    <col min="9" max="9" width="11.42578125" bestFit="1" customWidth="1"/>
    <col min="10" max="10" width="13" customWidth="1"/>
  </cols>
  <sheetData>
    <row r="1" spans="1:11" ht="15.75" thickBot="1">
      <c r="A1" s="932" t="s">
        <v>175</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46.5" thickBot="1">
      <c r="A3" s="940"/>
      <c r="B3" s="942"/>
      <c r="C3" s="942"/>
      <c r="D3" s="944"/>
      <c r="E3" s="465" t="s">
        <v>121</v>
      </c>
      <c r="F3" s="473" t="s">
        <v>705</v>
      </c>
      <c r="G3" s="465" t="s">
        <v>121</v>
      </c>
      <c r="H3" s="473" t="s">
        <v>705</v>
      </c>
      <c r="I3" s="483" t="s">
        <v>121</v>
      </c>
      <c r="J3" s="25" t="s">
        <v>705</v>
      </c>
    </row>
    <row r="4" spans="1:11">
      <c r="A4" s="70">
        <v>43852</v>
      </c>
      <c r="B4" s="71" t="s">
        <v>209</v>
      </c>
      <c r="C4" s="798">
        <v>321780</v>
      </c>
      <c r="D4" s="805">
        <f>C4</f>
        <v>321780</v>
      </c>
      <c r="E4" s="812"/>
      <c r="F4" s="821" t="str">
        <f>IF(ISBLANK(E4),"----",E4-$D4)</f>
        <v>----</v>
      </c>
      <c r="G4" s="812"/>
      <c r="H4" s="821" t="str">
        <f t="shared" ref="H4:H19" si="0">IF(OR(G4="Complete",ISBLANK(G4)),"----",G4-$D4)</f>
        <v>----</v>
      </c>
      <c r="I4" s="809"/>
      <c r="J4" s="822" t="str">
        <f t="shared" ref="J4:J19" si="1">IF(OR(I4="Complete",ISBLANK(I4)),"----",I4-$D4)</f>
        <v>----</v>
      </c>
    </row>
    <row r="5" spans="1:11">
      <c r="A5" s="88">
        <v>43852</v>
      </c>
      <c r="B5" s="101" t="s">
        <v>210</v>
      </c>
      <c r="C5" s="801">
        <v>765828.4</v>
      </c>
      <c r="D5" s="806">
        <v>0</v>
      </c>
      <c r="E5" s="813"/>
      <c r="F5" s="825" t="str">
        <f t="shared" ref="F5:F19" si="2">IF(ISBLANK(E5),"----",E5-$D5)</f>
        <v>----</v>
      </c>
      <c r="G5" s="813"/>
      <c r="H5" s="825" t="str">
        <f t="shared" si="0"/>
        <v>----</v>
      </c>
      <c r="I5" s="810"/>
      <c r="J5" s="826" t="str">
        <f t="shared" si="1"/>
        <v>----</v>
      </c>
      <c r="K5" t="s">
        <v>211</v>
      </c>
    </row>
    <row r="6" spans="1:11">
      <c r="A6" s="102">
        <v>44216</v>
      </c>
      <c r="B6" s="103" t="s">
        <v>370</v>
      </c>
      <c r="C6" s="787">
        <v>634078.81999999995</v>
      </c>
      <c r="D6" s="806">
        <v>0</v>
      </c>
      <c r="E6" s="756"/>
      <c r="F6" s="825" t="str">
        <f t="shared" si="2"/>
        <v>----</v>
      </c>
      <c r="G6" s="756"/>
      <c r="H6" s="825" t="str">
        <f t="shared" si="0"/>
        <v>----</v>
      </c>
      <c r="I6" s="751"/>
      <c r="J6" s="826" t="str">
        <f t="shared" si="1"/>
        <v>----</v>
      </c>
      <c r="K6" t="s">
        <v>371</v>
      </c>
    </row>
    <row r="7" spans="1:11">
      <c r="A7" s="102">
        <v>44306</v>
      </c>
      <c r="B7" s="103" t="s">
        <v>421</v>
      </c>
      <c r="C7" s="787">
        <v>541859.67000000004</v>
      </c>
      <c r="D7" s="746">
        <v>214139.67</v>
      </c>
      <c r="E7" s="756">
        <v>211255.16</v>
      </c>
      <c r="F7" s="825">
        <f t="shared" si="2"/>
        <v>-2884.5100000000093</v>
      </c>
      <c r="G7" s="756" t="s">
        <v>704</v>
      </c>
      <c r="H7" s="825" t="str">
        <f t="shared" si="0"/>
        <v>----</v>
      </c>
      <c r="I7" s="751" t="s">
        <v>704</v>
      </c>
      <c r="J7" s="826" t="str">
        <f t="shared" si="1"/>
        <v>----</v>
      </c>
      <c r="K7" t="s">
        <v>422</v>
      </c>
    </row>
    <row r="8" spans="1:11">
      <c r="A8" s="102">
        <v>44580</v>
      </c>
      <c r="B8" s="103" t="s">
        <v>488</v>
      </c>
      <c r="C8" s="787">
        <v>1047234.25</v>
      </c>
      <c r="D8" s="746">
        <f t="shared" ref="D8:D13" si="3">C8</f>
        <v>1047234.25</v>
      </c>
      <c r="E8" s="756">
        <v>1046029.41</v>
      </c>
      <c r="F8" s="825">
        <f t="shared" si="2"/>
        <v>-1204.8399999999674</v>
      </c>
      <c r="G8" s="756" t="s">
        <v>704</v>
      </c>
      <c r="H8" s="825" t="str">
        <f t="shared" si="0"/>
        <v>----</v>
      </c>
      <c r="I8" s="751" t="s">
        <v>704</v>
      </c>
      <c r="J8" s="826" t="str">
        <f t="shared" si="1"/>
        <v>----</v>
      </c>
    </row>
    <row r="9" spans="1:11">
      <c r="A9" s="123">
        <v>44761</v>
      </c>
      <c r="B9" s="124" t="s">
        <v>545</v>
      </c>
      <c r="C9" s="743">
        <f>206085/2</f>
        <v>103042.5</v>
      </c>
      <c r="D9" s="760">
        <f t="shared" si="3"/>
        <v>103042.5</v>
      </c>
      <c r="E9" s="756">
        <v>104248.34</v>
      </c>
      <c r="F9" s="825">
        <f t="shared" si="2"/>
        <v>1205.8399999999965</v>
      </c>
      <c r="G9" s="756" t="s">
        <v>704</v>
      </c>
      <c r="H9" s="825" t="str">
        <f t="shared" si="0"/>
        <v>----</v>
      </c>
      <c r="I9" s="751" t="s">
        <v>704</v>
      </c>
      <c r="J9" s="826" t="str">
        <f t="shared" si="1"/>
        <v>----</v>
      </c>
      <c r="K9" t="s">
        <v>435</v>
      </c>
    </row>
    <row r="10" spans="1:11">
      <c r="A10" s="102">
        <v>44915</v>
      </c>
      <c r="B10" s="103" t="s">
        <v>604</v>
      </c>
      <c r="C10" s="787">
        <v>1146333.97</v>
      </c>
      <c r="D10" s="746">
        <f t="shared" si="3"/>
        <v>1146333.97</v>
      </c>
      <c r="E10" s="756"/>
      <c r="F10" s="825" t="str">
        <f t="shared" si="2"/>
        <v>----</v>
      </c>
      <c r="G10" s="756"/>
      <c r="H10" s="825" t="str">
        <f t="shared" si="0"/>
        <v>----</v>
      </c>
      <c r="I10" s="751"/>
      <c r="J10" s="826" t="str">
        <f t="shared" si="1"/>
        <v>----</v>
      </c>
    </row>
    <row r="11" spans="1:11">
      <c r="A11" s="102">
        <v>44944</v>
      </c>
      <c r="B11" s="103" t="s">
        <v>625</v>
      </c>
      <c r="C11" s="787">
        <v>723565.07</v>
      </c>
      <c r="D11" s="746">
        <f t="shared" si="3"/>
        <v>723565.07</v>
      </c>
      <c r="E11" s="756"/>
      <c r="F11" s="825" t="str">
        <f t="shared" si="2"/>
        <v>----</v>
      </c>
      <c r="G11" s="756"/>
      <c r="H11" s="825" t="str">
        <f t="shared" si="0"/>
        <v>----</v>
      </c>
      <c r="I11" s="751"/>
      <c r="J11" s="826" t="str">
        <f t="shared" si="1"/>
        <v>----</v>
      </c>
    </row>
    <row r="12" spans="1:11">
      <c r="A12" s="102">
        <v>45342</v>
      </c>
      <c r="B12" s="455" t="s">
        <v>727</v>
      </c>
      <c r="C12" s="787">
        <v>1215158.05</v>
      </c>
      <c r="D12" s="746">
        <f t="shared" si="3"/>
        <v>1215158.05</v>
      </c>
      <c r="E12" s="756"/>
      <c r="F12" s="825" t="str">
        <f t="shared" si="2"/>
        <v>----</v>
      </c>
      <c r="G12" s="756"/>
      <c r="H12" s="825" t="str">
        <f t="shared" si="0"/>
        <v>----</v>
      </c>
      <c r="I12" s="751"/>
      <c r="J12" s="826" t="str">
        <f t="shared" si="1"/>
        <v>----</v>
      </c>
    </row>
    <row r="13" spans="1:11">
      <c r="A13" s="102">
        <v>45679</v>
      </c>
      <c r="B13" s="738" t="s">
        <v>828</v>
      </c>
      <c r="C13" s="787">
        <v>462557.64</v>
      </c>
      <c r="D13" s="746">
        <f t="shared" si="3"/>
        <v>462557.64</v>
      </c>
      <c r="E13" s="756"/>
      <c r="F13" s="825" t="str">
        <f t="shared" si="2"/>
        <v>----</v>
      </c>
      <c r="G13" s="756"/>
      <c r="H13" s="825" t="str">
        <f t="shared" si="0"/>
        <v>----</v>
      </c>
      <c r="I13" s="751"/>
      <c r="J13" s="826" t="str">
        <f t="shared" si="1"/>
        <v>----</v>
      </c>
    </row>
    <row r="14" spans="1:11">
      <c r="A14" s="102">
        <v>45706</v>
      </c>
      <c r="B14" s="738" t="s">
        <v>839</v>
      </c>
      <c r="C14" s="787">
        <v>1599694.69</v>
      </c>
      <c r="D14" s="746">
        <f>C14</f>
        <v>1599694.69</v>
      </c>
      <c r="E14" s="756"/>
      <c r="F14" s="825" t="str">
        <f t="shared" si="2"/>
        <v>----</v>
      </c>
      <c r="G14" s="756"/>
      <c r="H14" s="825" t="str">
        <f t="shared" si="0"/>
        <v>----</v>
      </c>
      <c r="I14" s="751"/>
      <c r="J14" s="826" t="str">
        <f t="shared" si="1"/>
        <v>----</v>
      </c>
    </row>
    <row r="15" spans="1:11">
      <c r="A15" s="102"/>
      <c r="B15" s="103"/>
      <c r="C15" s="787"/>
      <c r="D15" s="746"/>
      <c r="E15" s="756"/>
      <c r="F15" s="825" t="str">
        <f t="shared" si="2"/>
        <v>----</v>
      </c>
      <c r="G15" s="756"/>
      <c r="H15" s="825" t="str">
        <f t="shared" si="0"/>
        <v>----</v>
      </c>
      <c r="I15" s="751"/>
      <c r="J15" s="826" t="str">
        <f t="shared" si="1"/>
        <v>----</v>
      </c>
    </row>
    <row r="16" spans="1:11">
      <c r="A16" s="102"/>
      <c r="B16" s="103"/>
      <c r="C16" s="787"/>
      <c r="D16" s="746"/>
      <c r="E16" s="756"/>
      <c r="F16" s="825" t="str">
        <f t="shared" si="2"/>
        <v>----</v>
      </c>
      <c r="G16" s="756"/>
      <c r="H16" s="825" t="str">
        <f t="shared" si="0"/>
        <v>----</v>
      </c>
      <c r="I16" s="751"/>
      <c r="J16" s="826" t="str">
        <f t="shared" si="1"/>
        <v>----</v>
      </c>
    </row>
    <row r="17" spans="1:10">
      <c r="A17" s="102"/>
      <c r="B17" s="103"/>
      <c r="C17" s="787"/>
      <c r="D17" s="746"/>
      <c r="E17" s="756"/>
      <c r="F17" s="825" t="str">
        <f t="shared" si="2"/>
        <v>----</v>
      </c>
      <c r="G17" s="756"/>
      <c r="H17" s="825" t="str">
        <f t="shared" si="0"/>
        <v>----</v>
      </c>
      <c r="I17" s="751"/>
      <c r="J17" s="826" t="str">
        <f t="shared" si="1"/>
        <v>----</v>
      </c>
    </row>
    <row r="18" spans="1:10">
      <c r="A18" s="116"/>
      <c r="B18" s="117"/>
      <c r="C18" s="790"/>
      <c r="D18" s="807"/>
      <c r="E18" s="757"/>
      <c r="F18" s="825" t="str">
        <f t="shared" si="2"/>
        <v>----</v>
      </c>
      <c r="G18" s="757"/>
      <c r="H18" s="825" t="str">
        <f t="shared" si="0"/>
        <v>----</v>
      </c>
      <c r="I18" s="752"/>
      <c r="J18" s="826" t="str">
        <f t="shared" si="1"/>
        <v>----</v>
      </c>
    </row>
    <row r="19" spans="1:10" ht="15.75" thickBot="1">
      <c r="A19" s="74"/>
      <c r="B19" s="75"/>
      <c r="C19" s="800"/>
      <c r="D19" s="808"/>
      <c r="E19" s="814"/>
      <c r="F19" s="819" t="str">
        <f t="shared" si="2"/>
        <v>----</v>
      </c>
      <c r="G19" s="814"/>
      <c r="H19" s="819" t="str">
        <f t="shared" si="0"/>
        <v>----</v>
      </c>
      <c r="I19" s="811"/>
      <c r="J19" s="820" t="str">
        <f t="shared" si="1"/>
        <v>----</v>
      </c>
    </row>
    <row r="20" spans="1:10" ht="15.75" thickBot="1">
      <c r="A20" s="27"/>
      <c r="B20" s="27"/>
      <c r="C20" s="832"/>
      <c r="D20" s="832"/>
      <c r="E20" s="832"/>
      <c r="F20" s="833">
        <f>SUM(F4:F19)</f>
        <v>-2883.5099999999802</v>
      </c>
      <c r="G20" s="832"/>
      <c r="H20" s="833">
        <f>SUM(H4:H19)</f>
        <v>0</v>
      </c>
      <c r="I20" s="832"/>
      <c r="J20" s="833">
        <f>SUM(J4:J19)</f>
        <v>0</v>
      </c>
    </row>
    <row r="21" spans="1:10">
      <c r="C21" s="736"/>
      <c r="D21" s="736"/>
      <c r="E21" s="736"/>
      <c r="F21" s="736"/>
      <c r="G21" s="736"/>
      <c r="H21" s="736"/>
      <c r="I21" s="736"/>
      <c r="J21" s="736"/>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L24" sqref="L24"/>
    </sheetView>
  </sheetViews>
  <sheetFormatPr defaultRowHeight="15"/>
  <cols>
    <col min="2" max="2" width="22.7109375" bestFit="1" customWidth="1"/>
    <col min="3" max="4" width="10.7109375" bestFit="1" customWidth="1"/>
    <col min="5" max="5" width="10.7109375" style="437" bestFit="1" customWidth="1"/>
    <col min="6" max="6" width="11.5703125" style="437" customWidth="1"/>
    <col min="7" max="7" width="10.7109375" style="437" bestFit="1" customWidth="1"/>
    <col min="8" max="8" width="11.5703125" style="437" customWidth="1"/>
    <col min="9" max="9" width="10.7109375" bestFit="1" customWidth="1"/>
    <col min="10" max="10" width="11.5703125" customWidth="1"/>
  </cols>
  <sheetData>
    <row r="1" spans="1:21" ht="15.75" thickBot="1">
      <c r="A1" s="932" t="s">
        <v>136</v>
      </c>
      <c r="B1" s="933"/>
      <c r="C1" s="933"/>
      <c r="D1" s="933"/>
      <c r="E1" s="933"/>
      <c r="F1" s="933"/>
      <c r="G1" s="933"/>
      <c r="H1" s="933"/>
      <c r="I1" s="933"/>
      <c r="J1" s="934"/>
    </row>
    <row r="2" spans="1:21" s="437" customFormat="1">
      <c r="A2" s="939" t="s">
        <v>110</v>
      </c>
      <c r="B2" s="941" t="s">
        <v>111</v>
      </c>
      <c r="C2" s="941" t="s">
        <v>112</v>
      </c>
      <c r="D2" s="943" t="s">
        <v>120</v>
      </c>
      <c r="E2" s="937" t="s">
        <v>702</v>
      </c>
      <c r="F2" s="938"/>
      <c r="G2" s="937" t="s">
        <v>703</v>
      </c>
      <c r="H2" s="938"/>
      <c r="I2" s="912" t="s">
        <v>801</v>
      </c>
      <c r="J2" s="913"/>
    </row>
    <row r="3" spans="1:21" ht="57.75" thickBot="1">
      <c r="A3" s="940"/>
      <c r="B3" s="942"/>
      <c r="C3" s="942"/>
      <c r="D3" s="944"/>
      <c r="E3" s="465" t="s">
        <v>121</v>
      </c>
      <c r="F3" s="473" t="s">
        <v>705</v>
      </c>
      <c r="G3" s="465" t="s">
        <v>121</v>
      </c>
      <c r="H3" s="473" t="s">
        <v>705</v>
      </c>
      <c r="I3" s="483" t="s">
        <v>121</v>
      </c>
      <c r="J3" s="25" t="s">
        <v>705</v>
      </c>
    </row>
    <row r="4" spans="1:21">
      <c r="A4" s="70">
        <v>43788</v>
      </c>
      <c r="B4" s="71" t="s">
        <v>146</v>
      </c>
      <c r="C4" s="72">
        <v>249397</v>
      </c>
      <c r="D4" s="434">
        <v>199517.6</v>
      </c>
      <c r="E4" s="521">
        <v>198478.1</v>
      </c>
      <c r="F4" s="475">
        <f>IF(ISBLANK(E4),"----",E4-$D4)</f>
        <v>-1039.5</v>
      </c>
      <c r="G4" s="521" t="s">
        <v>704</v>
      </c>
      <c r="H4" s="475" t="str">
        <f t="shared" ref="H4:H23" si="0">IF(OR(G4="Complete",ISBLANK(G4)),"----",G4-$D4)</f>
        <v>----</v>
      </c>
      <c r="I4" s="517" t="s">
        <v>704</v>
      </c>
      <c r="J4" s="73" t="str">
        <f t="shared" ref="J4:J23" si="1">IF(OR(I4="Complete",ISBLANK(I4)),"----",I4-$D4)</f>
        <v>----</v>
      </c>
    </row>
    <row r="5" spans="1:21" s="418" customFormat="1">
      <c r="A5" s="422" t="s">
        <v>696</v>
      </c>
      <c r="B5" s="423" t="s">
        <v>146</v>
      </c>
      <c r="C5" s="421">
        <f>65544.6+7386.1</f>
        <v>72930.700000000012</v>
      </c>
      <c r="D5" s="513">
        <v>33267.599999999999</v>
      </c>
      <c r="E5" s="487">
        <v>58344.56</v>
      </c>
      <c r="F5" s="477">
        <f t="shared" ref="F5:F23" si="2">IF(ISBLANK(E5),"----",E5-$D5)</f>
        <v>25076.959999999999</v>
      </c>
      <c r="G5" s="487" t="s">
        <v>704</v>
      </c>
      <c r="H5" s="477" t="str">
        <f t="shared" si="0"/>
        <v>----</v>
      </c>
      <c r="I5" s="485" t="s">
        <v>704</v>
      </c>
      <c r="J5" s="420" t="str">
        <f t="shared" si="1"/>
        <v>----</v>
      </c>
      <c r="K5" s="419" t="s">
        <v>697</v>
      </c>
    </row>
    <row r="6" spans="1:21">
      <c r="A6" s="204">
        <v>43879</v>
      </c>
      <c r="B6" s="413" t="s">
        <v>215</v>
      </c>
      <c r="C6" s="205">
        <v>441592.87</v>
      </c>
      <c r="D6" s="514">
        <v>353274.3</v>
      </c>
      <c r="E6" s="522">
        <v>355135.81</v>
      </c>
      <c r="F6" s="523">
        <f t="shared" si="2"/>
        <v>1861.5100000000093</v>
      </c>
      <c r="G6" s="522" t="s">
        <v>704</v>
      </c>
      <c r="H6" s="523" t="str">
        <f t="shared" si="0"/>
        <v>----</v>
      </c>
      <c r="I6" s="518" t="s">
        <v>704</v>
      </c>
      <c r="J6" s="206" t="str">
        <f t="shared" si="1"/>
        <v>----</v>
      </c>
      <c r="K6" s="425"/>
    </row>
    <row r="7" spans="1:21" s="418" customFormat="1">
      <c r="A7" s="426" t="s">
        <v>696</v>
      </c>
      <c r="B7" s="111" t="s">
        <v>215</v>
      </c>
      <c r="C7" s="427">
        <v>71986.100000000006</v>
      </c>
      <c r="D7" s="515">
        <v>0</v>
      </c>
      <c r="E7" s="524">
        <v>57588.88</v>
      </c>
      <c r="F7" s="523">
        <f t="shared" si="2"/>
        <v>57588.88</v>
      </c>
      <c r="G7" s="524" t="s">
        <v>704</v>
      </c>
      <c r="H7" s="523" t="str">
        <f t="shared" si="0"/>
        <v>----</v>
      </c>
      <c r="I7" s="519" t="s">
        <v>704</v>
      </c>
      <c r="J7" s="206" t="str">
        <f t="shared" si="1"/>
        <v>----</v>
      </c>
      <c r="K7" s="424" t="s">
        <v>698</v>
      </c>
    </row>
    <row r="8" spans="1:21">
      <c r="A8" s="374">
        <v>44216</v>
      </c>
      <c r="B8" s="410" t="s">
        <v>372</v>
      </c>
      <c r="C8" s="428">
        <v>424079.6</v>
      </c>
      <c r="D8" s="516">
        <f>C8</f>
        <v>424079.6</v>
      </c>
      <c r="E8" s="525">
        <v>430785.47</v>
      </c>
      <c r="F8" s="523">
        <f t="shared" si="2"/>
        <v>6705.8699999999953</v>
      </c>
      <c r="G8" s="525" t="s">
        <v>704</v>
      </c>
      <c r="H8" s="523" t="str">
        <f t="shared" si="0"/>
        <v>----</v>
      </c>
      <c r="I8" s="520" t="s">
        <v>704</v>
      </c>
      <c r="J8" s="206" t="str">
        <f t="shared" si="1"/>
        <v>----</v>
      </c>
    </row>
    <row r="9" spans="1:21">
      <c r="A9" s="102">
        <v>44243</v>
      </c>
      <c r="B9" s="103" t="s">
        <v>394</v>
      </c>
      <c r="C9" s="87">
        <v>531449.79</v>
      </c>
      <c r="D9" s="471">
        <f>C9</f>
        <v>531449.79</v>
      </c>
      <c r="E9" s="478">
        <v>547859.80000000005</v>
      </c>
      <c r="F9" s="477">
        <f t="shared" si="2"/>
        <v>16410.010000000009</v>
      </c>
      <c r="G9" s="478" t="s">
        <v>704</v>
      </c>
      <c r="H9" s="477" t="str">
        <f t="shared" si="0"/>
        <v>----</v>
      </c>
      <c r="I9" s="491" t="s">
        <v>704</v>
      </c>
      <c r="J9" s="83" t="str">
        <f t="shared" si="1"/>
        <v>----</v>
      </c>
      <c r="P9" s="955" t="s">
        <v>699</v>
      </c>
      <c r="Q9" s="955"/>
      <c r="R9" s="955"/>
      <c r="S9" s="955"/>
      <c r="T9" s="955"/>
      <c r="U9" s="955"/>
    </row>
    <row r="10" spans="1:21">
      <c r="A10" s="102">
        <v>45342</v>
      </c>
      <c r="B10" s="455" t="s">
        <v>729</v>
      </c>
      <c r="C10" s="608">
        <v>760336.1</v>
      </c>
      <c r="D10" s="609">
        <f>C10</f>
        <v>760336.1</v>
      </c>
      <c r="E10" s="478"/>
      <c r="F10" s="477" t="str">
        <f t="shared" si="2"/>
        <v>----</v>
      </c>
      <c r="G10" s="478"/>
      <c r="H10" s="477" t="str">
        <f t="shared" si="0"/>
        <v>----</v>
      </c>
      <c r="I10" s="491"/>
      <c r="J10" s="83" t="str">
        <f t="shared" si="1"/>
        <v>----</v>
      </c>
      <c r="P10" s="955"/>
      <c r="Q10" s="955"/>
      <c r="R10" s="955"/>
      <c r="S10" s="955"/>
      <c r="T10" s="955"/>
      <c r="U10" s="955"/>
    </row>
    <row r="11" spans="1:21">
      <c r="A11" s="102">
        <v>45524</v>
      </c>
      <c r="B11" s="455" t="s">
        <v>770</v>
      </c>
      <c r="C11" s="608">
        <v>868293.75</v>
      </c>
      <c r="D11" s="609">
        <v>0</v>
      </c>
      <c r="E11" s="478"/>
      <c r="F11" s="477" t="str">
        <f t="shared" si="2"/>
        <v>----</v>
      </c>
      <c r="G11" s="478"/>
      <c r="H11" s="477" t="str">
        <f t="shared" si="0"/>
        <v>----</v>
      </c>
      <c r="I11" s="491"/>
      <c r="J11" s="83" t="str">
        <f t="shared" si="1"/>
        <v>----</v>
      </c>
      <c r="K11" t="s">
        <v>771</v>
      </c>
      <c r="P11" s="955"/>
      <c r="Q11" s="955"/>
      <c r="R11" s="955"/>
      <c r="S11" s="955"/>
      <c r="T11" s="955"/>
      <c r="U11" s="955"/>
    </row>
    <row r="12" spans="1:21">
      <c r="A12" s="102"/>
      <c r="B12" s="103"/>
      <c r="C12" s="87"/>
      <c r="D12" s="471"/>
      <c r="E12" s="478"/>
      <c r="F12" s="477" t="str">
        <f t="shared" si="2"/>
        <v>----</v>
      </c>
      <c r="G12" s="478"/>
      <c r="H12" s="477" t="str">
        <f t="shared" si="0"/>
        <v>----</v>
      </c>
      <c r="I12" s="491"/>
      <c r="J12" s="83" t="str">
        <f t="shared" si="1"/>
        <v>----</v>
      </c>
      <c r="P12" s="955"/>
      <c r="Q12" s="955"/>
      <c r="R12" s="955"/>
      <c r="S12" s="955"/>
      <c r="T12" s="955"/>
      <c r="U12" s="955"/>
    </row>
    <row r="13" spans="1:21">
      <c r="A13" s="102"/>
      <c r="B13" s="103"/>
      <c r="C13" s="87"/>
      <c r="D13" s="471"/>
      <c r="E13" s="478"/>
      <c r="F13" s="477" t="str">
        <f t="shared" si="2"/>
        <v>----</v>
      </c>
      <c r="G13" s="478"/>
      <c r="H13" s="477" t="str">
        <f t="shared" si="0"/>
        <v>----</v>
      </c>
      <c r="I13" s="491"/>
      <c r="J13" s="83" t="str">
        <f t="shared" si="1"/>
        <v>----</v>
      </c>
      <c r="P13" s="955"/>
      <c r="Q13" s="955"/>
      <c r="R13" s="955"/>
      <c r="S13" s="955"/>
      <c r="T13" s="955"/>
      <c r="U13" s="955"/>
    </row>
    <row r="14" spans="1:21">
      <c r="A14" s="102"/>
      <c r="B14" s="103"/>
      <c r="C14" s="87"/>
      <c r="D14" s="471"/>
      <c r="E14" s="478"/>
      <c r="F14" s="477" t="str">
        <f t="shared" si="2"/>
        <v>----</v>
      </c>
      <c r="G14" s="478"/>
      <c r="H14" s="477" t="str">
        <f t="shared" si="0"/>
        <v>----</v>
      </c>
      <c r="I14" s="491"/>
      <c r="J14" s="83" t="str">
        <f t="shared" si="1"/>
        <v>----</v>
      </c>
      <c r="P14" s="955"/>
      <c r="Q14" s="955"/>
      <c r="R14" s="955"/>
      <c r="S14" s="955"/>
      <c r="T14" s="955"/>
      <c r="U14" s="955"/>
    </row>
    <row r="15" spans="1:21">
      <c r="A15" s="102"/>
      <c r="B15" s="103"/>
      <c r="C15" s="87"/>
      <c r="D15" s="471"/>
      <c r="E15" s="478"/>
      <c r="F15" s="477" t="str">
        <f t="shared" si="2"/>
        <v>----</v>
      </c>
      <c r="G15" s="478"/>
      <c r="H15" s="477" t="str">
        <f t="shared" si="0"/>
        <v>----</v>
      </c>
      <c r="I15" s="491"/>
      <c r="J15" s="83" t="str">
        <f t="shared" si="1"/>
        <v>----</v>
      </c>
      <c r="P15" s="955"/>
      <c r="Q15" s="955"/>
      <c r="R15" s="955"/>
      <c r="S15" s="955"/>
      <c r="T15" s="955"/>
      <c r="U15" s="955"/>
    </row>
    <row r="16" spans="1:21">
      <c r="A16" s="102"/>
      <c r="B16" s="103"/>
      <c r="C16" s="87"/>
      <c r="D16" s="471"/>
      <c r="E16" s="478"/>
      <c r="F16" s="477" t="str">
        <f t="shared" si="2"/>
        <v>----</v>
      </c>
      <c r="G16" s="478"/>
      <c r="H16" s="477" t="str">
        <f t="shared" si="0"/>
        <v>----</v>
      </c>
      <c r="I16" s="491"/>
      <c r="J16" s="83" t="str">
        <f t="shared" si="1"/>
        <v>----</v>
      </c>
      <c r="P16" s="955"/>
      <c r="Q16" s="955"/>
      <c r="R16" s="955"/>
      <c r="S16" s="955"/>
      <c r="T16" s="955"/>
      <c r="U16" s="955"/>
    </row>
    <row r="17" spans="1:21">
      <c r="A17" s="102"/>
      <c r="B17" s="103"/>
      <c r="C17" s="87"/>
      <c r="D17" s="471"/>
      <c r="E17" s="478"/>
      <c r="F17" s="477" t="str">
        <f t="shared" si="2"/>
        <v>----</v>
      </c>
      <c r="G17" s="478"/>
      <c r="H17" s="477" t="str">
        <f t="shared" si="0"/>
        <v>----</v>
      </c>
      <c r="I17" s="491"/>
      <c r="J17" s="83" t="str">
        <f t="shared" si="1"/>
        <v>----</v>
      </c>
      <c r="P17" s="955"/>
      <c r="Q17" s="955"/>
      <c r="R17" s="955"/>
      <c r="S17" s="955"/>
      <c r="T17" s="955"/>
      <c r="U17" s="955"/>
    </row>
    <row r="18" spans="1:21">
      <c r="A18" s="102"/>
      <c r="B18" s="103"/>
      <c r="C18" s="87"/>
      <c r="D18" s="471"/>
      <c r="E18" s="478"/>
      <c r="F18" s="477" t="str">
        <f t="shared" si="2"/>
        <v>----</v>
      </c>
      <c r="G18" s="478"/>
      <c r="H18" s="477" t="str">
        <f t="shared" si="0"/>
        <v>----</v>
      </c>
      <c r="I18" s="491"/>
      <c r="J18" s="83" t="str">
        <f t="shared" si="1"/>
        <v>----</v>
      </c>
      <c r="P18" s="955"/>
      <c r="Q18" s="955"/>
      <c r="R18" s="955"/>
      <c r="S18" s="955"/>
      <c r="T18" s="955"/>
      <c r="U18" s="955"/>
    </row>
    <row r="19" spans="1:21">
      <c r="A19" s="102"/>
      <c r="B19" s="103"/>
      <c r="C19" s="87"/>
      <c r="D19" s="471"/>
      <c r="E19" s="478"/>
      <c r="F19" s="477" t="str">
        <f t="shared" si="2"/>
        <v>----</v>
      </c>
      <c r="G19" s="478"/>
      <c r="H19" s="477" t="str">
        <f t="shared" si="0"/>
        <v>----</v>
      </c>
      <c r="I19" s="491"/>
      <c r="J19" s="83" t="str">
        <f t="shared" si="1"/>
        <v>----</v>
      </c>
      <c r="P19" s="955"/>
      <c r="Q19" s="955"/>
      <c r="R19" s="955"/>
      <c r="S19" s="955"/>
      <c r="T19" s="955"/>
      <c r="U19" s="955"/>
    </row>
    <row r="20" spans="1:21">
      <c r="A20" s="102"/>
      <c r="B20" s="103"/>
      <c r="C20" s="87"/>
      <c r="D20" s="471"/>
      <c r="E20" s="478"/>
      <c r="F20" s="477" t="str">
        <f t="shared" si="2"/>
        <v>----</v>
      </c>
      <c r="G20" s="478"/>
      <c r="H20" s="477" t="str">
        <f t="shared" si="0"/>
        <v>----</v>
      </c>
      <c r="I20" s="491"/>
      <c r="J20" s="83" t="str">
        <f t="shared" si="1"/>
        <v>----</v>
      </c>
      <c r="P20" s="955"/>
      <c r="Q20" s="955"/>
      <c r="R20" s="955"/>
      <c r="S20" s="955"/>
      <c r="T20" s="955"/>
      <c r="U20" s="955"/>
    </row>
    <row r="21" spans="1:21">
      <c r="A21" s="102"/>
      <c r="B21" s="103"/>
      <c r="C21" s="87"/>
      <c r="D21" s="471"/>
      <c r="E21" s="478"/>
      <c r="F21" s="477" t="str">
        <f t="shared" si="2"/>
        <v>----</v>
      </c>
      <c r="G21" s="478"/>
      <c r="H21" s="477" t="str">
        <f t="shared" si="0"/>
        <v>----</v>
      </c>
      <c r="I21" s="491"/>
      <c r="J21" s="83" t="str">
        <f t="shared" si="1"/>
        <v>----</v>
      </c>
      <c r="P21" s="955"/>
      <c r="Q21" s="955"/>
      <c r="R21" s="955"/>
      <c r="S21" s="955"/>
      <c r="T21" s="955"/>
      <c r="U21" s="955"/>
    </row>
    <row r="22" spans="1:21">
      <c r="A22" s="116"/>
      <c r="B22" s="117"/>
      <c r="C22" s="118"/>
      <c r="D22" s="472"/>
      <c r="E22" s="479"/>
      <c r="F22" s="477" t="str">
        <f t="shared" si="2"/>
        <v>----</v>
      </c>
      <c r="G22" s="479"/>
      <c r="H22" s="477" t="str">
        <f t="shared" si="0"/>
        <v>----</v>
      </c>
      <c r="I22" s="493"/>
      <c r="J22" s="83" t="str">
        <f t="shared" si="1"/>
        <v>----</v>
      </c>
    </row>
    <row r="23" spans="1:21" ht="15.75" thickBot="1">
      <c r="A23" s="74"/>
      <c r="B23" s="75"/>
      <c r="C23" s="76"/>
      <c r="D23" s="435"/>
      <c r="E23" s="480"/>
      <c r="F23" s="526" t="str">
        <f t="shared" si="2"/>
        <v>----</v>
      </c>
      <c r="G23" s="480"/>
      <c r="H23" s="481" t="str">
        <f t="shared" si="0"/>
        <v>----</v>
      </c>
      <c r="I23" s="486"/>
      <c r="J23" s="527" t="str">
        <f t="shared" si="1"/>
        <v>----</v>
      </c>
    </row>
    <row r="24" spans="1:21" ht="15.75" thickBot="1">
      <c r="A24" s="27"/>
      <c r="B24" s="27"/>
      <c r="C24" s="28"/>
      <c r="D24" s="28"/>
      <c r="E24" s="444"/>
      <c r="F24" s="528">
        <f>SUM(F4:F23)</f>
        <v>106603.73000000001</v>
      </c>
      <c r="G24" s="444"/>
      <c r="H24" s="528">
        <f>SUM(H4:H23)</f>
        <v>0</v>
      </c>
      <c r="I24" s="28"/>
      <c r="J24" s="528">
        <f>SUM(J4:J23)</f>
        <v>0</v>
      </c>
    </row>
    <row r="25" spans="1:21">
      <c r="A25" s="17"/>
      <c r="B25" s="17"/>
      <c r="C25" s="20"/>
      <c r="D25" s="20"/>
      <c r="E25" s="440"/>
      <c r="F25" s="440"/>
      <c r="G25" s="440"/>
      <c r="H25" s="440"/>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7"/>
    <col min="7" max="7" width="10.7109375" style="437" bestFit="1" customWidth="1"/>
    <col min="8" max="8" width="11.28515625" style="437" bestFit="1" customWidth="1"/>
  </cols>
  <sheetData>
    <row r="1" spans="1:10" ht="15.75" thickBot="1">
      <c r="A1" s="932" t="s">
        <v>253</v>
      </c>
      <c r="B1" s="933"/>
      <c r="C1" s="933"/>
      <c r="D1" s="933"/>
      <c r="E1" s="933"/>
      <c r="F1" s="933"/>
      <c r="G1" s="933"/>
      <c r="H1" s="933"/>
      <c r="I1" s="933"/>
      <c r="J1" s="934"/>
    </row>
    <row r="2" spans="1:10" s="437" customFormat="1">
      <c r="A2" s="939" t="s">
        <v>110</v>
      </c>
      <c r="B2" s="941" t="s">
        <v>111</v>
      </c>
      <c r="C2" s="941" t="s">
        <v>112</v>
      </c>
      <c r="D2" s="943" t="s">
        <v>247</v>
      </c>
      <c r="E2" s="937" t="s">
        <v>702</v>
      </c>
      <c r="F2" s="938"/>
      <c r="G2" s="937" t="s">
        <v>703</v>
      </c>
      <c r="H2" s="938"/>
      <c r="I2" s="912" t="s">
        <v>801</v>
      </c>
      <c r="J2" s="913"/>
    </row>
    <row r="3" spans="1:10" ht="69" thickBot="1">
      <c r="A3" s="940"/>
      <c r="B3" s="942"/>
      <c r="C3" s="942"/>
      <c r="D3" s="944"/>
      <c r="E3" s="465" t="s">
        <v>121</v>
      </c>
      <c r="F3" s="473" t="s">
        <v>705</v>
      </c>
      <c r="G3" s="465" t="s">
        <v>121</v>
      </c>
      <c r="H3" s="473" t="s">
        <v>705</v>
      </c>
      <c r="I3" s="483" t="s">
        <v>121</v>
      </c>
      <c r="J3" s="25" t="s">
        <v>705</v>
      </c>
    </row>
    <row r="4" spans="1:10">
      <c r="A4" s="70">
        <v>44124</v>
      </c>
      <c r="B4" s="71" t="s">
        <v>310</v>
      </c>
      <c r="C4" s="72">
        <v>2218553.4500000002</v>
      </c>
      <c r="D4" s="434">
        <v>1040762.54</v>
      </c>
      <c r="E4" s="474"/>
      <c r="F4" s="475" t="str">
        <f>IF(ISBLANK(E4),"----",E4-$D4)</f>
        <v>----</v>
      </c>
      <c r="G4" s="474"/>
      <c r="H4" s="475" t="str">
        <f t="shared" ref="H4:H22" si="0">IF(OR(G4="Complete",ISBLANK(G4)),"----",G4-$D4)</f>
        <v>----</v>
      </c>
      <c r="I4" s="484"/>
      <c r="J4" s="73" t="str">
        <f t="shared" ref="J4:J22" si="1">IF(OR(I4="Complete",ISBLANK(I4)),"----",I4-$D4)</f>
        <v>----</v>
      </c>
    </row>
    <row r="5" spans="1:10">
      <c r="A5" s="88">
        <v>44334</v>
      </c>
      <c r="B5" s="101" t="s">
        <v>427</v>
      </c>
      <c r="C5" s="82">
        <v>481055.1</v>
      </c>
      <c r="D5" s="436">
        <f>C5</f>
        <v>481055.1</v>
      </c>
      <c r="E5" s="476"/>
      <c r="F5" s="477" t="str">
        <f t="shared" ref="F5:F22" si="2">IF(ISBLANK(E5),"----",E5-$D5)</f>
        <v>----</v>
      </c>
      <c r="G5" s="476">
        <v>362371.12</v>
      </c>
      <c r="H5" s="477">
        <f t="shared" si="0"/>
        <v>-118683.97999999998</v>
      </c>
      <c r="I5" s="489" t="s">
        <v>704</v>
      </c>
      <c r="J5" s="83" t="str">
        <f t="shared" si="1"/>
        <v>----</v>
      </c>
    </row>
    <row r="6" spans="1:10" s="437" customFormat="1">
      <c r="A6" s="454"/>
      <c r="B6" s="455"/>
      <c r="C6" s="451"/>
      <c r="D6" s="471"/>
      <c r="E6" s="478"/>
      <c r="F6" s="490" t="str">
        <f t="shared" si="2"/>
        <v>----</v>
      </c>
      <c r="G6" s="478"/>
      <c r="H6" s="490" t="str">
        <f t="shared" si="0"/>
        <v>----</v>
      </c>
      <c r="I6" s="491"/>
      <c r="J6" s="456" t="str">
        <f t="shared" si="1"/>
        <v>----</v>
      </c>
    </row>
    <row r="7" spans="1:10" s="437" customFormat="1">
      <c r="A7" s="454"/>
      <c r="B7" s="455"/>
      <c r="C7" s="451"/>
      <c r="D7" s="471"/>
      <c r="E7" s="478"/>
      <c r="F7" s="490" t="str">
        <f t="shared" si="2"/>
        <v>----</v>
      </c>
      <c r="G7" s="478"/>
      <c r="H7" s="490" t="str">
        <f t="shared" si="0"/>
        <v>----</v>
      </c>
      <c r="I7" s="491"/>
      <c r="J7" s="456" t="str">
        <f t="shared" si="1"/>
        <v>----</v>
      </c>
    </row>
    <row r="8" spans="1:10" s="437" customFormat="1">
      <c r="A8" s="454"/>
      <c r="B8" s="455"/>
      <c r="C8" s="451"/>
      <c r="D8" s="471"/>
      <c r="E8" s="478"/>
      <c r="F8" s="490" t="str">
        <f t="shared" si="2"/>
        <v>----</v>
      </c>
      <c r="G8" s="478"/>
      <c r="H8" s="490" t="str">
        <f t="shared" si="0"/>
        <v>----</v>
      </c>
      <c r="I8" s="491"/>
      <c r="J8" s="456" t="str">
        <f t="shared" si="1"/>
        <v>----</v>
      </c>
    </row>
    <row r="9" spans="1:10" s="437" customFormat="1">
      <c r="A9" s="454"/>
      <c r="B9" s="455"/>
      <c r="C9" s="451"/>
      <c r="D9" s="471"/>
      <c r="E9" s="478"/>
      <c r="F9" s="490" t="str">
        <f t="shared" si="2"/>
        <v>----</v>
      </c>
      <c r="G9" s="478"/>
      <c r="H9" s="490" t="str">
        <f t="shared" si="0"/>
        <v>----</v>
      </c>
      <c r="I9" s="491"/>
      <c r="J9" s="456" t="str">
        <f t="shared" si="1"/>
        <v>----</v>
      </c>
    </row>
    <row r="10" spans="1:10" s="437" customFormat="1">
      <c r="A10" s="454"/>
      <c r="B10" s="455"/>
      <c r="C10" s="451"/>
      <c r="D10" s="471"/>
      <c r="E10" s="478"/>
      <c r="F10" s="490" t="str">
        <f t="shared" si="2"/>
        <v>----</v>
      </c>
      <c r="G10" s="478"/>
      <c r="H10" s="490" t="str">
        <f t="shared" si="0"/>
        <v>----</v>
      </c>
      <c r="I10" s="491"/>
      <c r="J10" s="456" t="str">
        <f t="shared" si="1"/>
        <v>----</v>
      </c>
    </row>
    <row r="11" spans="1:10" s="437" customFormat="1">
      <c r="A11" s="454"/>
      <c r="B11" s="455"/>
      <c r="C11" s="451"/>
      <c r="D11" s="471"/>
      <c r="E11" s="478"/>
      <c r="F11" s="490" t="str">
        <f t="shared" si="2"/>
        <v>----</v>
      </c>
      <c r="G11" s="478"/>
      <c r="H11" s="490" t="str">
        <f t="shared" si="0"/>
        <v>----</v>
      </c>
      <c r="I11" s="491"/>
      <c r="J11" s="456" t="str">
        <f t="shared" si="1"/>
        <v>----</v>
      </c>
    </row>
    <row r="12" spans="1:10" s="437" customFormat="1">
      <c r="A12" s="454"/>
      <c r="B12" s="455"/>
      <c r="C12" s="451"/>
      <c r="D12" s="471"/>
      <c r="E12" s="478"/>
      <c r="F12" s="490" t="str">
        <f t="shared" si="2"/>
        <v>----</v>
      </c>
      <c r="G12" s="478"/>
      <c r="H12" s="490" t="str">
        <f t="shared" si="0"/>
        <v>----</v>
      </c>
      <c r="I12" s="491"/>
      <c r="J12" s="456" t="str">
        <f t="shared" si="1"/>
        <v>----</v>
      </c>
    </row>
    <row r="13" spans="1:10" s="437" customFormat="1">
      <c r="A13" s="454"/>
      <c r="B13" s="455"/>
      <c r="C13" s="451"/>
      <c r="D13" s="471"/>
      <c r="E13" s="478"/>
      <c r="F13" s="490" t="str">
        <f t="shared" si="2"/>
        <v>----</v>
      </c>
      <c r="G13" s="478"/>
      <c r="H13" s="490" t="str">
        <f t="shared" si="0"/>
        <v>----</v>
      </c>
      <c r="I13" s="491"/>
      <c r="J13" s="456" t="str">
        <f t="shared" si="1"/>
        <v>----</v>
      </c>
    </row>
    <row r="14" spans="1:10" s="437" customFormat="1">
      <c r="A14" s="454"/>
      <c r="B14" s="455"/>
      <c r="C14" s="451"/>
      <c r="D14" s="471"/>
      <c r="E14" s="478"/>
      <c r="F14" s="490" t="str">
        <f t="shared" si="2"/>
        <v>----</v>
      </c>
      <c r="G14" s="478"/>
      <c r="H14" s="490" t="str">
        <f t="shared" si="0"/>
        <v>----</v>
      </c>
      <c r="I14" s="491"/>
      <c r="J14" s="456" t="str">
        <f t="shared" si="1"/>
        <v>----</v>
      </c>
    </row>
    <row r="15" spans="1:10" s="437" customFormat="1">
      <c r="A15" s="454"/>
      <c r="B15" s="455"/>
      <c r="C15" s="451"/>
      <c r="D15" s="471"/>
      <c r="E15" s="478"/>
      <c r="F15" s="490" t="str">
        <f t="shared" si="2"/>
        <v>----</v>
      </c>
      <c r="G15" s="478"/>
      <c r="H15" s="490" t="str">
        <f t="shared" si="0"/>
        <v>----</v>
      </c>
      <c r="I15" s="491"/>
      <c r="J15" s="456" t="str">
        <f t="shared" si="1"/>
        <v>----</v>
      </c>
    </row>
    <row r="16" spans="1:10" s="437" customFormat="1">
      <c r="A16" s="454"/>
      <c r="B16" s="455"/>
      <c r="C16" s="451"/>
      <c r="D16" s="471"/>
      <c r="E16" s="478"/>
      <c r="F16" s="490" t="str">
        <f t="shared" si="2"/>
        <v>----</v>
      </c>
      <c r="G16" s="478"/>
      <c r="H16" s="490" t="str">
        <f t="shared" si="0"/>
        <v>----</v>
      </c>
      <c r="I16" s="491"/>
      <c r="J16" s="456" t="str">
        <f t="shared" si="1"/>
        <v>----</v>
      </c>
    </row>
    <row r="17" spans="1:10" s="437" customFormat="1">
      <c r="A17" s="454"/>
      <c r="B17" s="455"/>
      <c r="C17" s="451"/>
      <c r="D17" s="471"/>
      <c r="E17" s="478"/>
      <c r="F17" s="490" t="str">
        <f t="shared" si="2"/>
        <v>----</v>
      </c>
      <c r="G17" s="478"/>
      <c r="H17" s="490" t="str">
        <f t="shared" si="0"/>
        <v>----</v>
      </c>
      <c r="I17" s="491"/>
      <c r="J17" s="456" t="str">
        <f t="shared" si="1"/>
        <v>----</v>
      </c>
    </row>
    <row r="18" spans="1:10" s="437" customFormat="1">
      <c r="A18" s="454"/>
      <c r="B18" s="455"/>
      <c r="C18" s="451"/>
      <c r="D18" s="471"/>
      <c r="E18" s="478"/>
      <c r="F18" s="490" t="str">
        <f t="shared" si="2"/>
        <v>----</v>
      </c>
      <c r="G18" s="478"/>
      <c r="H18" s="490" t="str">
        <f t="shared" si="0"/>
        <v>----</v>
      </c>
      <c r="I18" s="491"/>
      <c r="J18" s="456" t="str">
        <f t="shared" si="1"/>
        <v>----</v>
      </c>
    </row>
    <row r="19" spans="1:10" s="437" customFormat="1">
      <c r="A19" s="454"/>
      <c r="B19" s="455"/>
      <c r="C19" s="451"/>
      <c r="D19" s="471"/>
      <c r="E19" s="478"/>
      <c r="F19" s="490" t="str">
        <f t="shared" si="2"/>
        <v>----</v>
      </c>
      <c r="G19" s="478"/>
      <c r="H19" s="490" t="str">
        <f t="shared" si="0"/>
        <v>----</v>
      </c>
      <c r="I19" s="491"/>
      <c r="J19" s="456" t="str">
        <f t="shared" si="1"/>
        <v>----</v>
      </c>
    </row>
    <row r="20" spans="1:10" s="437" customFormat="1">
      <c r="A20" s="454"/>
      <c r="B20" s="455"/>
      <c r="C20" s="451"/>
      <c r="D20" s="471"/>
      <c r="E20" s="478"/>
      <c r="F20" s="490" t="str">
        <f t="shared" si="2"/>
        <v>----</v>
      </c>
      <c r="G20" s="478"/>
      <c r="H20" s="490" t="str">
        <f t="shared" si="0"/>
        <v>----</v>
      </c>
      <c r="I20" s="491"/>
      <c r="J20" s="456" t="str">
        <f t="shared" si="1"/>
        <v>----</v>
      </c>
    </row>
    <row r="21" spans="1:10">
      <c r="A21" s="457"/>
      <c r="B21" s="458"/>
      <c r="C21" s="459"/>
      <c r="D21" s="472"/>
      <c r="E21" s="479"/>
      <c r="F21" s="492" t="str">
        <f t="shared" si="2"/>
        <v>----</v>
      </c>
      <c r="G21" s="479"/>
      <c r="H21" s="492" t="str">
        <f t="shared" si="0"/>
        <v>----</v>
      </c>
      <c r="I21" s="493"/>
      <c r="J21" s="460" t="str">
        <f t="shared" si="1"/>
        <v>----</v>
      </c>
    </row>
    <row r="22" spans="1:10" ht="15.75" thickBot="1">
      <c r="A22" s="74"/>
      <c r="B22" s="75"/>
      <c r="C22" s="76"/>
      <c r="D22" s="435"/>
      <c r="E22" s="480"/>
      <c r="F22" s="481" t="str">
        <f t="shared" si="2"/>
        <v>----</v>
      </c>
      <c r="G22" s="480"/>
      <c r="H22" s="481" t="str">
        <f t="shared" si="0"/>
        <v>----</v>
      </c>
      <c r="I22" s="486"/>
      <c r="J22" s="77" t="str">
        <f t="shared" si="1"/>
        <v>----</v>
      </c>
    </row>
    <row r="23" spans="1:10" ht="15.75" thickBot="1">
      <c r="A23" s="27"/>
      <c r="B23" s="27"/>
      <c r="C23" s="28"/>
      <c r="D23" s="28"/>
      <c r="E23" s="444"/>
      <c r="F23" s="446">
        <f>SUM(F4:F22)</f>
        <v>0</v>
      </c>
      <c r="G23" s="444"/>
      <c r="H23" s="446">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7" customWidth="1"/>
    <col min="6" max="6" width="15.140625" style="437" customWidth="1"/>
    <col min="7" max="7" width="11" style="437" customWidth="1"/>
    <col min="8" max="8" width="15.140625" style="437" customWidth="1"/>
    <col min="9" max="9" width="11" customWidth="1"/>
    <col min="10" max="10" width="15.140625" customWidth="1"/>
  </cols>
  <sheetData>
    <row r="1" spans="1:10" ht="15.75" thickBot="1">
      <c r="A1" s="932" t="s">
        <v>176</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8" customHeight="1" thickBot="1">
      <c r="A3" s="940"/>
      <c r="B3" s="942"/>
      <c r="C3" s="942"/>
      <c r="D3" s="954"/>
      <c r="E3" s="465" t="s">
        <v>121</v>
      </c>
      <c r="F3" s="473" t="s">
        <v>705</v>
      </c>
      <c r="G3" s="465" t="s">
        <v>121</v>
      </c>
      <c r="H3" s="473" t="s">
        <v>705</v>
      </c>
      <c r="I3" s="483" t="s">
        <v>121</v>
      </c>
      <c r="J3" s="25" t="s">
        <v>705</v>
      </c>
    </row>
    <row r="4" spans="1:10">
      <c r="A4" s="70">
        <v>43852</v>
      </c>
      <c r="B4" s="71" t="s">
        <v>208</v>
      </c>
      <c r="C4" s="72">
        <v>255991.95</v>
      </c>
      <c r="D4" s="434">
        <f>C4</f>
        <v>255991.95</v>
      </c>
      <c r="E4" s="474"/>
      <c r="F4" s="475" t="str">
        <f>IF(ISBLANK(E4),"----",E4-$D4)</f>
        <v>----</v>
      </c>
      <c r="G4" s="474"/>
      <c r="H4" s="475" t="str">
        <f t="shared" ref="H4:H21" si="0">IF(OR(G4="Complete",ISBLANK(G4)),"----",G4-$D4)</f>
        <v>----</v>
      </c>
      <c r="I4" s="484"/>
      <c r="J4" s="73" t="str">
        <f t="shared" ref="J4:J21" si="1">IF(OR(I4="Complete",ISBLANK(I4)),"----",I4-$D4)</f>
        <v>----</v>
      </c>
    </row>
    <row r="5" spans="1:10">
      <c r="A5" s="91">
        <v>43879</v>
      </c>
      <c r="B5" s="92" t="s">
        <v>216</v>
      </c>
      <c r="C5" s="84">
        <v>293635</v>
      </c>
      <c r="D5" s="482">
        <f>C5</f>
        <v>293635</v>
      </c>
      <c r="E5" s="487">
        <v>282077.57</v>
      </c>
      <c r="F5" s="529">
        <f t="shared" ref="F5:F21" si="2">IF(ISBLANK(E5),"----",E5-$D5)</f>
        <v>-11557.429999999993</v>
      </c>
      <c r="G5" s="487" t="s">
        <v>704</v>
      </c>
      <c r="H5" s="529" t="str">
        <f t="shared" si="0"/>
        <v>----</v>
      </c>
      <c r="I5" s="485" t="s">
        <v>704</v>
      </c>
      <c r="J5" s="140" t="str">
        <f t="shared" si="1"/>
        <v>----</v>
      </c>
    </row>
    <row r="6" spans="1:10">
      <c r="A6" s="102">
        <v>44580</v>
      </c>
      <c r="B6" s="103" t="s">
        <v>489</v>
      </c>
      <c r="C6" s="87">
        <v>883349.55</v>
      </c>
      <c r="D6" s="471">
        <v>549153.77</v>
      </c>
      <c r="E6" s="478"/>
      <c r="F6" s="529" t="str">
        <f t="shared" si="2"/>
        <v>----</v>
      </c>
      <c r="G6" s="478"/>
      <c r="H6" s="529" t="str">
        <f t="shared" si="0"/>
        <v>----</v>
      </c>
      <c r="I6" s="491"/>
      <c r="J6" s="140" t="str">
        <f t="shared" si="1"/>
        <v>----</v>
      </c>
    </row>
    <row r="7" spans="1:10">
      <c r="A7" s="102">
        <v>44880</v>
      </c>
      <c r="B7" s="103" t="s">
        <v>589</v>
      </c>
      <c r="C7" s="87">
        <v>415576</v>
      </c>
      <c r="D7" s="471">
        <f>C7</f>
        <v>415576</v>
      </c>
      <c r="E7" s="478">
        <v>413531.99</v>
      </c>
      <c r="F7" s="529">
        <f t="shared" si="2"/>
        <v>-2044.0100000000093</v>
      </c>
      <c r="G7" s="478" t="s">
        <v>704</v>
      </c>
      <c r="H7" s="529" t="str">
        <f t="shared" si="0"/>
        <v>----</v>
      </c>
      <c r="I7" s="491" t="s">
        <v>704</v>
      </c>
      <c r="J7" s="140" t="str">
        <f t="shared" si="1"/>
        <v>----</v>
      </c>
    </row>
    <row r="8" spans="1:10">
      <c r="A8" s="102">
        <v>45461</v>
      </c>
      <c r="B8" s="455" t="s">
        <v>755</v>
      </c>
      <c r="C8" s="373">
        <v>374905</v>
      </c>
      <c r="D8" s="572">
        <f>C8</f>
        <v>374905</v>
      </c>
      <c r="E8" s="478"/>
      <c r="F8" s="529" t="str">
        <f t="shared" si="2"/>
        <v>----</v>
      </c>
      <c r="G8" s="478"/>
      <c r="H8" s="529" t="str">
        <f t="shared" si="0"/>
        <v>----</v>
      </c>
      <c r="I8" s="491"/>
      <c r="J8" s="140" t="str">
        <f t="shared" si="1"/>
        <v>----</v>
      </c>
    </row>
    <row r="9" spans="1:10">
      <c r="A9" s="102">
        <v>45679</v>
      </c>
      <c r="B9" s="738" t="s">
        <v>819</v>
      </c>
      <c r="C9" s="608">
        <v>342999.76</v>
      </c>
      <c r="D9" s="609">
        <f>C9</f>
        <v>342999.76</v>
      </c>
      <c r="E9" s="478"/>
      <c r="F9" s="529" t="str">
        <f t="shared" si="2"/>
        <v>----</v>
      </c>
      <c r="G9" s="478"/>
      <c r="H9" s="529" t="str">
        <f t="shared" si="0"/>
        <v>----</v>
      </c>
      <c r="I9" s="491"/>
      <c r="J9" s="140" t="str">
        <f t="shared" si="1"/>
        <v>----</v>
      </c>
    </row>
    <row r="10" spans="1:10">
      <c r="A10" s="102"/>
      <c r="B10" s="103"/>
      <c r="C10" s="373"/>
      <c r="D10" s="572"/>
      <c r="E10" s="478"/>
      <c r="F10" s="529" t="str">
        <f t="shared" si="2"/>
        <v>----</v>
      </c>
      <c r="G10" s="478"/>
      <c r="H10" s="529" t="str">
        <f t="shared" si="0"/>
        <v>----</v>
      </c>
      <c r="I10" s="491"/>
      <c r="J10" s="140" t="str">
        <f t="shared" si="1"/>
        <v>----</v>
      </c>
    </row>
    <row r="11" spans="1:10">
      <c r="A11" s="102"/>
      <c r="B11" s="103"/>
      <c r="C11" s="373"/>
      <c r="D11" s="572"/>
      <c r="E11" s="478"/>
      <c r="F11" s="529" t="str">
        <f t="shared" si="2"/>
        <v>----</v>
      </c>
      <c r="G11" s="478"/>
      <c r="H11" s="529" t="str">
        <f t="shared" si="0"/>
        <v>----</v>
      </c>
      <c r="I11" s="491"/>
      <c r="J11" s="140" t="str">
        <f t="shared" si="1"/>
        <v>----</v>
      </c>
    </row>
    <row r="12" spans="1:10">
      <c r="A12" s="102"/>
      <c r="B12" s="103"/>
      <c r="C12" s="373"/>
      <c r="D12" s="572"/>
      <c r="E12" s="478"/>
      <c r="F12" s="529" t="str">
        <f t="shared" si="2"/>
        <v>----</v>
      </c>
      <c r="G12" s="478"/>
      <c r="H12" s="529" t="str">
        <f t="shared" si="0"/>
        <v>----</v>
      </c>
      <c r="I12" s="491"/>
      <c r="J12" s="140" t="str">
        <f t="shared" si="1"/>
        <v>----</v>
      </c>
    </row>
    <row r="13" spans="1:10">
      <c r="A13" s="102"/>
      <c r="B13" s="103"/>
      <c r="C13" s="373"/>
      <c r="D13" s="572"/>
      <c r="E13" s="478"/>
      <c r="F13" s="529" t="str">
        <f t="shared" si="2"/>
        <v>----</v>
      </c>
      <c r="G13" s="478"/>
      <c r="H13" s="529" t="str">
        <f t="shared" si="0"/>
        <v>----</v>
      </c>
      <c r="I13" s="491"/>
      <c r="J13" s="140" t="str">
        <f t="shared" si="1"/>
        <v>----</v>
      </c>
    </row>
    <row r="14" spans="1:10">
      <c r="A14" s="102"/>
      <c r="B14" s="103"/>
      <c r="C14" s="373"/>
      <c r="D14" s="572"/>
      <c r="E14" s="478"/>
      <c r="F14" s="529" t="str">
        <f t="shared" si="2"/>
        <v>----</v>
      </c>
      <c r="G14" s="478"/>
      <c r="H14" s="529" t="str">
        <f t="shared" si="0"/>
        <v>----</v>
      </c>
      <c r="I14" s="491"/>
      <c r="J14" s="140" t="str">
        <f t="shared" si="1"/>
        <v>----</v>
      </c>
    </row>
    <row r="15" spans="1:10">
      <c r="A15" s="102"/>
      <c r="B15" s="103"/>
      <c r="C15" s="373"/>
      <c r="D15" s="572"/>
      <c r="E15" s="478"/>
      <c r="F15" s="529" t="str">
        <f t="shared" si="2"/>
        <v>----</v>
      </c>
      <c r="G15" s="478"/>
      <c r="H15" s="529" t="str">
        <f t="shared" si="0"/>
        <v>----</v>
      </c>
      <c r="I15" s="491"/>
      <c r="J15" s="140" t="str">
        <f t="shared" si="1"/>
        <v>----</v>
      </c>
    </row>
    <row r="16" spans="1:10">
      <c r="A16" s="102"/>
      <c r="B16" s="103"/>
      <c r="C16" s="373"/>
      <c r="D16" s="572"/>
      <c r="E16" s="478"/>
      <c r="F16" s="529" t="str">
        <f t="shared" si="2"/>
        <v>----</v>
      </c>
      <c r="G16" s="478"/>
      <c r="H16" s="529" t="str">
        <f t="shared" si="0"/>
        <v>----</v>
      </c>
      <c r="I16" s="491"/>
      <c r="J16" s="140" t="str">
        <f t="shared" si="1"/>
        <v>----</v>
      </c>
    </row>
    <row r="17" spans="1:10">
      <c r="A17" s="102"/>
      <c r="B17" s="103"/>
      <c r="C17" s="373"/>
      <c r="D17" s="572"/>
      <c r="E17" s="478"/>
      <c r="F17" s="529" t="str">
        <f t="shared" si="2"/>
        <v>----</v>
      </c>
      <c r="G17" s="478"/>
      <c r="H17" s="529" t="str">
        <f t="shared" si="0"/>
        <v>----</v>
      </c>
      <c r="I17" s="491"/>
      <c r="J17" s="140" t="str">
        <f t="shared" si="1"/>
        <v>----</v>
      </c>
    </row>
    <row r="18" spans="1:10">
      <c r="A18" s="102"/>
      <c r="B18" s="103"/>
      <c r="C18" s="373"/>
      <c r="D18" s="572"/>
      <c r="E18" s="478"/>
      <c r="F18" s="529" t="str">
        <f t="shared" si="2"/>
        <v>----</v>
      </c>
      <c r="G18" s="478"/>
      <c r="H18" s="529" t="str">
        <f t="shared" si="0"/>
        <v>----</v>
      </c>
      <c r="I18" s="491"/>
      <c r="J18" s="140" t="str">
        <f t="shared" si="1"/>
        <v>----</v>
      </c>
    </row>
    <row r="19" spans="1:10">
      <c r="A19" s="102"/>
      <c r="B19" s="103"/>
      <c r="C19" s="373"/>
      <c r="D19" s="572"/>
      <c r="E19" s="478"/>
      <c r="F19" s="529" t="str">
        <f t="shared" si="2"/>
        <v>----</v>
      </c>
      <c r="G19" s="478"/>
      <c r="H19" s="529" t="str">
        <f t="shared" si="0"/>
        <v>----</v>
      </c>
      <c r="I19" s="491"/>
      <c r="J19" s="140" t="str">
        <f t="shared" si="1"/>
        <v>----</v>
      </c>
    </row>
    <row r="20" spans="1:10">
      <c r="A20" s="116"/>
      <c r="B20" s="117"/>
      <c r="C20" s="617"/>
      <c r="D20" s="618"/>
      <c r="E20" s="479"/>
      <c r="F20" s="529" t="str">
        <f t="shared" si="2"/>
        <v>----</v>
      </c>
      <c r="G20" s="479"/>
      <c r="H20" s="529" t="str">
        <f t="shared" si="0"/>
        <v>----</v>
      </c>
      <c r="I20" s="493"/>
      <c r="J20" s="140" t="str">
        <f t="shared" si="1"/>
        <v>----</v>
      </c>
    </row>
    <row r="21" spans="1:10" ht="15.75" thickBot="1">
      <c r="A21" s="74"/>
      <c r="B21" s="75"/>
      <c r="C21" s="376"/>
      <c r="D21" s="536"/>
      <c r="E21" s="480"/>
      <c r="F21" s="481" t="str">
        <f t="shared" si="2"/>
        <v>----</v>
      </c>
      <c r="G21" s="480"/>
      <c r="H21" s="481" t="str">
        <f t="shared" si="0"/>
        <v>----</v>
      </c>
      <c r="I21" s="486"/>
      <c r="J21" s="77" t="str">
        <f t="shared" si="1"/>
        <v>----</v>
      </c>
    </row>
    <row r="22" spans="1:10" ht="15.75" thickBot="1">
      <c r="A22" s="27"/>
      <c r="B22" s="27"/>
      <c r="C22" s="28"/>
      <c r="D22" s="28"/>
      <c r="E22" s="444"/>
      <c r="F22" s="446">
        <f>SUM(F4:F21)</f>
        <v>-13601.440000000002</v>
      </c>
      <c r="G22" s="444"/>
      <c r="H22" s="446">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7" bestFit="1" customWidth="1"/>
    <col min="6" max="6" width="9.85546875" style="437" bestFit="1" customWidth="1"/>
    <col min="7" max="7" width="10.7109375" style="437" bestFit="1" customWidth="1"/>
    <col min="8" max="8" width="9.85546875" style="437" bestFit="1" customWidth="1"/>
    <col min="9" max="9" width="10.7109375" bestFit="1" customWidth="1"/>
    <col min="10" max="10" width="9.85546875" bestFit="1" customWidth="1"/>
  </cols>
  <sheetData>
    <row r="1" spans="1:11" ht="15.75" thickBot="1">
      <c r="A1" s="932" t="s">
        <v>254</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70">
        <v>44334</v>
      </c>
      <c r="B4" s="71" t="s">
        <v>428</v>
      </c>
      <c r="C4" s="715">
        <v>587812.59</v>
      </c>
      <c r="D4" s="718">
        <f>C4</f>
        <v>587812.59</v>
      </c>
      <c r="E4" s="724"/>
      <c r="F4" s="729" t="str">
        <f>IF(ISBLANK(E4),"----",E4-$D4)</f>
        <v>----</v>
      </c>
      <c r="G4" s="724">
        <v>596828.91</v>
      </c>
      <c r="H4" s="729">
        <f t="shared" ref="H4:H23" si="0">IF(OR(G4="Complete",ISBLANK(G4)),"----",G4-$D4)</f>
        <v>9016.3200000000652</v>
      </c>
      <c r="I4" s="721" t="s">
        <v>704</v>
      </c>
      <c r="J4" s="730" t="str">
        <f t="shared" ref="J4:J23" si="1">IF(OR(I4="Complete",ISBLANK(I4)),"----",I4-$D4)</f>
        <v>----</v>
      </c>
    </row>
    <row r="5" spans="1:11">
      <c r="A5" s="88">
        <v>44397</v>
      </c>
      <c r="B5" s="101" t="s">
        <v>438</v>
      </c>
      <c r="C5" s="717">
        <v>172277.9</v>
      </c>
      <c r="D5" s="719">
        <f>C5</f>
        <v>172277.9</v>
      </c>
      <c r="E5" s="725">
        <v>224668.51</v>
      </c>
      <c r="F5" s="731">
        <f t="shared" ref="F5:F23" si="2">IF(ISBLANK(E5),"----",E5-$D5)</f>
        <v>52390.610000000015</v>
      </c>
      <c r="G5" s="725" t="s">
        <v>704</v>
      </c>
      <c r="H5" s="731" t="str">
        <f t="shared" si="0"/>
        <v>----</v>
      </c>
      <c r="I5" s="722" t="s">
        <v>704</v>
      </c>
      <c r="J5" s="732" t="str">
        <f t="shared" si="1"/>
        <v>----</v>
      </c>
    </row>
    <row r="6" spans="1:11">
      <c r="A6" s="88">
        <v>45308</v>
      </c>
      <c r="B6" s="101" t="s">
        <v>714</v>
      </c>
      <c r="C6" s="717">
        <v>360074.6</v>
      </c>
      <c r="D6" s="719">
        <f>C6</f>
        <v>360074.6</v>
      </c>
      <c r="E6" s="725"/>
      <c r="F6" s="731" t="str">
        <f t="shared" si="2"/>
        <v>----</v>
      </c>
      <c r="G6" s="725"/>
      <c r="H6" s="731" t="str">
        <f t="shared" si="0"/>
        <v>----</v>
      </c>
      <c r="I6" s="722"/>
      <c r="J6" s="732" t="str">
        <f t="shared" si="1"/>
        <v>----</v>
      </c>
    </row>
    <row r="7" spans="1:11">
      <c r="A7" s="88">
        <f>Scott!A8</f>
        <v>45308</v>
      </c>
      <c r="B7" s="101" t="str">
        <f>Scott!B8</f>
        <v>BRS-C082(65)--60-82</v>
      </c>
      <c r="C7" s="717">
        <f>1/2*(2961328.63-500000-1500000)</f>
        <v>480664.31499999994</v>
      </c>
      <c r="D7" s="719">
        <f>Scott!D8</f>
        <v>480664.31499999994</v>
      </c>
      <c r="E7" s="725"/>
      <c r="F7" s="731" t="str">
        <f t="shared" si="2"/>
        <v>----</v>
      </c>
      <c r="G7" s="725"/>
      <c r="H7" s="731" t="str">
        <f t="shared" si="0"/>
        <v>----</v>
      </c>
      <c r="I7" s="722"/>
      <c r="J7" s="732" t="str">
        <f t="shared" si="1"/>
        <v>----</v>
      </c>
      <c r="K7" s="437" t="s">
        <v>723</v>
      </c>
    </row>
    <row r="8" spans="1:11">
      <c r="A8" s="713">
        <v>45643</v>
      </c>
      <c r="B8" s="714" t="s">
        <v>805</v>
      </c>
      <c r="C8" s="717">
        <v>2271892</v>
      </c>
      <c r="D8" s="719">
        <f>C8</f>
        <v>2271892</v>
      </c>
      <c r="E8" s="725"/>
      <c r="F8" s="731" t="str">
        <f t="shared" si="2"/>
        <v>----</v>
      </c>
      <c r="G8" s="725"/>
      <c r="H8" s="731" t="str">
        <f t="shared" si="0"/>
        <v>----</v>
      </c>
      <c r="I8" s="722"/>
      <c r="J8" s="732" t="str">
        <f t="shared" si="1"/>
        <v>----</v>
      </c>
    </row>
    <row r="9" spans="1:11">
      <c r="A9" s="88">
        <v>45706</v>
      </c>
      <c r="B9" s="714" t="s">
        <v>840</v>
      </c>
      <c r="C9" s="801">
        <v>281286</v>
      </c>
      <c r="D9" s="719">
        <f>C9</f>
        <v>281286</v>
      </c>
      <c r="E9" s="725"/>
      <c r="F9" s="731" t="str">
        <f t="shared" si="2"/>
        <v>----</v>
      </c>
      <c r="G9" s="725"/>
      <c r="H9" s="731" t="str">
        <f t="shared" si="0"/>
        <v>----</v>
      </c>
      <c r="I9" s="722"/>
      <c r="J9" s="732" t="str">
        <f t="shared" si="1"/>
        <v>----</v>
      </c>
    </row>
    <row r="10" spans="1:11">
      <c r="A10" s="88"/>
      <c r="B10" s="101"/>
      <c r="C10" s="717"/>
      <c r="D10" s="719"/>
      <c r="E10" s="725"/>
      <c r="F10" s="731" t="str">
        <f t="shared" si="2"/>
        <v>----</v>
      </c>
      <c r="G10" s="725"/>
      <c r="H10" s="731" t="str">
        <f t="shared" si="0"/>
        <v>----</v>
      </c>
      <c r="I10" s="722"/>
      <c r="J10" s="732" t="str">
        <f t="shared" si="1"/>
        <v>----</v>
      </c>
    </row>
    <row r="11" spans="1:11">
      <c r="A11" s="88"/>
      <c r="B11" s="101"/>
      <c r="C11" s="717"/>
      <c r="D11" s="719"/>
      <c r="E11" s="725"/>
      <c r="F11" s="731" t="str">
        <f t="shared" si="2"/>
        <v>----</v>
      </c>
      <c r="G11" s="725"/>
      <c r="H11" s="731" t="str">
        <f t="shared" si="0"/>
        <v>----</v>
      </c>
      <c r="I11" s="722"/>
      <c r="J11" s="732" t="str">
        <f t="shared" si="1"/>
        <v>----</v>
      </c>
    </row>
    <row r="12" spans="1:11">
      <c r="A12" s="88"/>
      <c r="B12" s="101"/>
      <c r="C12" s="717"/>
      <c r="D12" s="719"/>
      <c r="E12" s="725"/>
      <c r="F12" s="731" t="str">
        <f t="shared" si="2"/>
        <v>----</v>
      </c>
      <c r="G12" s="725"/>
      <c r="H12" s="731" t="str">
        <f t="shared" si="0"/>
        <v>----</v>
      </c>
      <c r="I12" s="722"/>
      <c r="J12" s="732" t="str">
        <f t="shared" si="1"/>
        <v>----</v>
      </c>
    </row>
    <row r="13" spans="1:11">
      <c r="A13" s="88"/>
      <c r="B13" s="101"/>
      <c r="C13" s="717"/>
      <c r="D13" s="719"/>
      <c r="E13" s="725"/>
      <c r="F13" s="731" t="str">
        <f t="shared" si="2"/>
        <v>----</v>
      </c>
      <c r="G13" s="725"/>
      <c r="H13" s="731" t="str">
        <f t="shared" si="0"/>
        <v>----</v>
      </c>
      <c r="I13" s="722"/>
      <c r="J13" s="732" t="str">
        <f t="shared" si="1"/>
        <v>----</v>
      </c>
    </row>
    <row r="14" spans="1:11">
      <c r="A14" s="88"/>
      <c r="B14" s="101"/>
      <c r="C14" s="717"/>
      <c r="D14" s="719"/>
      <c r="E14" s="725"/>
      <c r="F14" s="731" t="str">
        <f t="shared" si="2"/>
        <v>----</v>
      </c>
      <c r="G14" s="725"/>
      <c r="H14" s="731" t="str">
        <f t="shared" si="0"/>
        <v>----</v>
      </c>
      <c r="I14" s="722"/>
      <c r="J14" s="732" t="str">
        <f t="shared" si="1"/>
        <v>----</v>
      </c>
    </row>
    <row r="15" spans="1:11">
      <c r="A15" s="88"/>
      <c r="B15" s="101"/>
      <c r="C15" s="717"/>
      <c r="D15" s="719"/>
      <c r="E15" s="725"/>
      <c r="F15" s="731" t="str">
        <f t="shared" si="2"/>
        <v>----</v>
      </c>
      <c r="G15" s="725"/>
      <c r="H15" s="731" t="str">
        <f t="shared" si="0"/>
        <v>----</v>
      </c>
      <c r="I15" s="722"/>
      <c r="J15" s="732" t="str">
        <f t="shared" si="1"/>
        <v>----</v>
      </c>
    </row>
    <row r="16" spans="1:11">
      <c r="A16" s="88"/>
      <c r="B16" s="101"/>
      <c r="C16" s="717"/>
      <c r="D16" s="719"/>
      <c r="E16" s="725"/>
      <c r="F16" s="731" t="str">
        <f t="shared" si="2"/>
        <v>----</v>
      </c>
      <c r="G16" s="725"/>
      <c r="H16" s="731" t="str">
        <f t="shared" si="0"/>
        <v>----</v>
      </c>
      <c r="I16" s="722"/>
      <c r="J16" s="732" t="str">
        <f t="shared" si="1"/>
        <v>----</v>
      </c>
    </row>
    <row r="17" spans="1:10">
      <c r="A17" s="88"/>
      <c r="B17" s="101"/>
      <c r="C17" s="717"/>
      <c r="D17" s="719"/>
      <c r="E17" s="725"/>
      <c r="F17" s="731" t="str">
        <f t="shared" si="2"/>
        <v>----</v>
      </c>
      <c r="G17" s="725"/>
      <c r="H17" s="731" t="str">
        <f t="shared" si="0"/>
        <v>----</v>
      </c>
      <c r="I17" s="722"/>
      <c r="J17" s="732" t="str">
        <f t="shared" si="1"/>
        <v>----</v>
      </c>
    </row>
    <row r="18" spans="1:10">
      <c r="A18" s="88"/>
      <c r="B18" s="101"/>
      <c r="C18" s="717"/>
      <c r="D18" s="719"/>
      <c r="E18" s="725"/>
      <c r="F18" s="731" t="str">
        <f t="shared" si="2"/>
        <v>----</v>
      </c>
      <c r="G18" s="725"/>
      <c r="H18" s="731" t="str">
        <f t="shared" si="0"/>
        <v>----</v>
      </c>
      <c r="I18" s="722"/>
      <c r="J18" s="732" t="str">
        <f t="shared" si="1"/>
        <v>----</v>
      </c>
    </row>
    <row r="19" spans="1:10">
      <c r="A19" s="88"/>
      <c r="B19" s="101"/>
      <c r="C19" s="717"/>
      <c r="D19" s="719"/>
      <c r="E19" s="725"/>
      <c r="F19" s="731" t="str">
        <f t="shared" si="2"/>
        <v>----</v>
      </c>
      <c r="G19" s="725"/>
      <c r="H19" s="731" t="str">
        <f t="shared" si="0"/>
        <v>----</v>
      </c>
      <c r="I19" s="722"/>
      <c r="J19" s="732" t="str">
        <f t="shared" si="1"/>
        <v>----</v>
      </c>
    </row>
    <row r="20" spans="1:10">
      <c r="A20" s="88"/>
      <c r="B20" s="101"/>
      <c r="C20" s="717"/>
      <c r="D20" s="719"/>
      <c r="E20" s="725"/>
      <c r="F20" s="731" t="str">
        <f t="shared" si="2"/>
        <v>----</v>
      </c>
      <c r="G20" s="725"/>
      <c r="H20" s="731" t="str">
        <f t="shared" si="0"/>
        <v>----</v>
      </c>
      <c r="I20" s="722"/>
      <c r="J20" s="732" t="str">
        <f t="shared" si="1"/>
        <v>----</v>
      </c>
    </row>
    <row r="21" spans="1:10">
      <c r="A21" s="88"/>
      <c r="B21" s="101"/>
      <c r="C21" s="717"/>
      <c r="D21" s="719"/>
      <c r="E21" s="725"/>
      <c r="F21" s="731" t="str">
        <f t="shared" si="2"/>
        <v>----</v>
      </c>
      <c r="G21" s="725"/>
      <c r="H21" s="731" t="str">
        <f t="shared" si="0"/>
        <v>----</v>
      </c>
      <c r="I21" s="722"/>
      <c r="J21" s="732" t="str">
        <f t="shared" si="1"/>
        <v>----</v>
      </c>
    </row>
    <row r="22" spans="1:10">
      <c r="A22" s="88"/>
      <c r="B22" s="101"/>
      <c r="C22" s="717"/>
      <c r="D22" s="719"/>
      <c r="E22" s="725"/>
      <c r="F22" s="731" t="str">
        <f t="shared" si="2"/>
        <v>----</v>
      </c>
      <c r="G22" s="725"/>
      <c r="H22" s="731" t="str">
        <f t="shared" si="0"/>
        <v>----</v>
      </c>
      <c r="I22" s="722"/>
      <c r="J22" s="732" t="str">
        <f t="shared" si="1"/>
        <v>----</v>
      </c>
    </row>
    <row r="23" spans="1:10" ht="15.75" thickBot="1">
      <c r="A23" s="74"/>
      <c r="B23" s="75"/>
      <c r="C23" s="716"/>
      <c r="D23" s="720"/>
      <c r="E23" s="726"/>
      <c r="F23" s="727" t="str">
        <f t="shared" si="2"/>
        <v>----</v>
      </c>
      <c r="G23" s="726"/>
      <c r="H23" s="727" t="str">
        <f t="shared" si="0"/>
        <v>----</v>
      </c>
      <c r="I23" s="723"/>
      <c r="J23" s="728" t="str">
        <f t="shared" si="1"/>
        <v>----</v>
      </c>
    </row>
    <row r="24" spans="1:10" ht="15.75" thickBot="1">
      <c r="A24" s="27"/>
      <c r="B24" s="27"/>
      <c r="C24" s="28"/>
      <c r="D24" s="28"/>
      <c r="E24" s="444"/>
      <c r="F24" s="446">
        <f>SUM(F4:F23)</f>
        <v>52390.610000000015</v>
      </c>
      <c r="G24" s="444"/>
      <c r="H24" s="446">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7" customWidth="1"/>
    <col min="9" max="10" width="12" customWidth="1"/>
  </cols>
  <sheetData>
    <row r="1" spans="1:11" ht="15.75" thickBot="1">
      <c r="A1" s="932" t="s">
        <v>177</v>
      </c>
      <c r="B1" s="933"/>
      <c r="C1" s="933"/>
      <c r="D1" s="933"/>
      <c r="E1" s="933"/>
      <c r="F1" s="933"/>
      <c r="G1" s="933"/>
      <c r="H1" s="933"/>
      <c r="I1" s="933"/>
      <c r="J1" s="934"/>
    </row>
    <row r="2" spans="1:11" s="437" customFormat="1">
      <c r="A2" s="956" t="s">
        <v>110</v>
      </c>
      <c r="B2" s="958" t="s">
        <v>111</v>
      </c>
      <c r="C2" s="958" t="s">
        <v>112</v>
      </c>
      <c r="D2" s="960" t="s">
        <v>120</v>
      </c>
      <c r="E2" s="937" t="s">
        <v>702</v>
      </c>
      <c r="F2" s="938"/>
      <c r="G2" s="937" t="s">
        <v>703</v>
      </c>
      <c r="H2" s="938"/>
      <c r="I2" s="912" t="s">
        <v>801</v>
      </c>
      <c r="J2" s="913"/>
    </row>
    <row r="3" spans="1:11" ht="57.75" thickBot="1">
      <c r="A3" s="957"/>
      <c r="B3" s="959"/>
      <c r="C3" s="959"/>
      <c r="D3" s="961"/>
      <c r="E3" s="465" t="s">
        <v>121</v>
      </c>
      <c r="F3" s="473" t="s">
        <v>705</v>
      </c>
      <c r="G3" s="465" t="s">
        <v>121</v>
      </c>
      <c r="H3" s="473" t="s">
        <v>705</v>
      </c>
      <c r="I3" s="483" t="s">
        <v>121</v>
      </c>
      <c r="J3" s="25" t="s">
        <v>705</v>
      </c>
    </row>
    <row r="4" spans="1:11">
      <c r="A4" s="70">
        <v>43852</v>
      </c>
      <c r="B4" s="71" t="s">
        <v>207</v>
      </c>
      <c r="C4" s="798">
        <v>493525.27</v>
      </c>
      <c r="D4" s="805">
        <f>C4</f>
        <v>493525.27</v>
      </c>
      <c r="E4" s="812">
        <v>511491.38</v>
      </c>
      <c r="F4" s="821">
        <f>IF(ISBLANK(E4),"----",E4-$D4)</f>
        <v>17966.109999999986</v>
      </c>
      <c r="G4" s="812" t="s">
        <v>704</v>
      </c>
      <c r="H4" s="821" t="str">
        <f t="shared" ref="H4:H22" si="0">IF(OR(G4="Complete",ISBLANK(G4)),"----",G4-$D4)</f>
        <v>----</v>
      </c>
      <c r="I4" s="809" t="s">
        <v>704</v>
      </c>
      <c r="J4" s="822" t="str">
        <f t="shared" ref="J4:J22" si="1">IF(OR(I4="Complete",ISBLANK(I4)),"----",I4-$D4)</f>
        <v>----</v>
      </c>
    </row>
    <row r="5" spans="1:11">
      <c r="A5" s="88">
        <v>44580</v>
      </c>
      <c r="B5" s="101" t="s">
        <v>490</v>
      </c>
      <c r="C5" s="801">
        <v>517207.2</v>
      </c>
      <c r="D5" s="806">
        <f>C5</f>
        <v>517207.2</v>
      </c>
      <c r="E5" s="813">
        <v>499497.7</v>
      </c>
      <c r="F5" s="791">
        <f t="shared" ref="F5:F22" si="2">IF(ISBLANK(E5),"----",E5-$D5)</f>
        <v>-17709.5</v>
      </c>
      <c r="G5" s="813" t="s">
        <v>704</v>
      </c>
      <c r="H5" s="791" t="str">
        <f t="shared" si="0"/>
        <v>----</v>
      </c>
      <c r="I5" s="810" t="s">
        <v>704</v>
      </c>
      <c r="J5" s="792" t="str">
        <f t="shared" si="1"/>
        <v>----</v>
      </c>
    </row>
    <row r="6" spans="1:11">
      <c r="A6" s="102">
        <v>44944</v>
      </c>
      <c r="B6" s="103" t="s">
        <v>628</v>
      </c>
      <c r="C6" s="787">
        <v>1158234.6499999999</v>
      </c>
      <c r="D6" s="746">
        <f>C6</f>
        <v>1158234.6499999999</v>
      </c>
      <c r="E6" s="756"/>
      <c r="F6" s="791" t="str">
        <f t="shared" si="2"/>
        <v>----</v>
      </c>
      <c r="G6" s="756"/>
      <c r="H6" s="791" t="str">
        <f t="shared" si="0"/>
        <v>----</v>
      </c>
      <c r="I6" s="751">
        <v>1109893.8899999999</v>
      </c>
      <c r="J6" s="792">
        <f t="shared" si="1"/>
        <v>-48340.760000000009</v>
      </c>
      <c r="K6" t="s">
        <v>872</v>
      </c>
    </row>
    <row r="7" spans="1:11">
      <c r="A7" s="102">
        <v>45308</v>
      </c>
      <c r="B7" s="103" t="s">
        <v>721</v>
      </c>
      <c r="C7" s="787">
        <v>874128.06</v>
      </c>
      <c r="D7" s="746">
        <f>C7</f>
        <v>874128.06</v>
      </c>
      <c r="E7" s="756"/>
      <c r="F7" s="791" t="str">
        <f t="shared" si="2"/>
        <v>----</v>
      </c>
      <c r="G7" s="756"/>
      <c r="H7" s="791" t="str">
        <f t="shared" si="0"/>
        <v>----</v>
      </c>
      <c r="I7" s="751"/>
      <c r="J7" s="792" t="str">
        <f t="shared" si="1"/>
        <v>----</v>
      </c>
    </row>
    <row r="8" spans="1:11" s="978" customFormat="1">
      <c r="A8" s="979">
        <v>45706</v>
      </c>
      <c r="B8" s="980" t="s">
        <v>841</v>
      </c>
      <c r="C8" s="981">
        <v>1353872.98</v>
      </c>
      <c r="D8" s="982">
        <v>0</v>
      </c>
      <c r="E8" s="983"/>
      <c r="F8" s="984" t="str">
        <f t="shared" si="2"/>
        <v>----</v>
      </c>
      <c r="G8" s="983"/>
      <c r="H8" s="984" t="str">
        <f t="shared" si="0"/>
        <v>----</v>
      </c>
      <c r="I8" s="985"/>
      <c r="J8" s="986" t="str">
        <f t="shared" si="1"/>
        <v>----</v>
      </c>
      <c r="K8" s="978" t="s">
        <v>871</v>
      </c>
    </row>
    <row r="9" spans="1:11">
      <c r="A9" s="102"/>
      <c r="B9" s="103"/>
      <c r="C9" s="787"/>
      <c r="D9" s="746"/>
      <c r="E9" s="756"/>
      <c r="F9" s="791" t="str">
        <f t="shared" si="2"/>
        <v>----</v>
      </c>
      <c r="G9" s="756"/>
      <c r="H9" s="791" t="str">
        <f t="shared" si="0"/>
        <v>----</v>
      </c>
      <c r="I9" s="751"/>
      <c r="J9" s="792" t="str">
        <f t="shared" si="1"/>
        <v>----</v>
      </c>
    </row>
    <row r="10" spans="1:11">
      <c r="A10" s="102"/>
      <c r="B10" s="103"/>
      <c r="C10" s="787"/>
      <c r="D10" s="746"/>
      <c r="E10" s="756"/>
      <c r="F10" s="791" t="str">
        <f t="shared" si="2"/>
        <v>----</v>
      </c>
      <c r="G10" s="756"/>
      <c r="H10" s="791" t="str">
        <f t="shared" si="0"/>
        <v>----</v>
      </c>
      <c r="I10" s="751"/>
      <c r="J10" s="792" t="str">
        <f t="shared" si="1"/>
        <v>----</v>
      </c>
    </row>
    <row r="11" spans="1:11">
      <c r="A11" s="102"/>
      <c r="B11" s="103"/>
      <c r="C11" s="787"/>
      <c r="D11" s="746"/>
      <c r="E11" s="756"/>
      <c r="F11" s="791" t="str">
        <f t="shared" si="2"/>
        <v>----</v>
      </c>
      <c r="G11" s="756"/>
      <c r="H11" s="791" t="str">
        <f t="shared" si="0"/>
        <v>----</v>
      </c>
      <c r="I11" s="751"/>
      <c r="J11" s="792" t="str">
        <f t="shared" si="1"/>
        <v>----</v>
      </c>
    </row>
    <row r="12" spans="1:11">
      <c r="A12" s="102"/>
      <c r="B12" s="103"/>
      <c r="C12" s="787"/>
      <c r="D12" s="746"/>
      <c r="E12" s="756"/>
      <c r="F12" s="791" t="str">
        <f t="shared" si="2"/>
        <v>----</v>
      </c>
      <c r="G12" s="756"/>
      <c r="H12" s="791" t="str">
        <f t="shared" si="0"/>
        <v>----</v>
      </c>
      <c r="I12" s="751"/>
      <c r="J12" s="792" t="str">
        <f t="shared" si="1"/>
        <v>----</v>
      </c>
    </row>
    <row r="13" spans="1:11">
      <c r="A13" s="102"/>
      <c r="B13" s="103"/>
      <c r="C13" s="787"/>
      <c r="D13" s="746"/>
      <c r="E13" s="756"/>
      <c r="F13" s="791" t="str">
        <f t="shared" si="2"/>
        <v>----</v>
      </c>
      <c r="G13" s="756"/>
      <c r="H13" s="791" t="str">
        <f t="shared" si="0"/>
        <v>----</v>
      </c>
      <c r="I13" s="751"/>
      <c r="J13" s="792" t="str">
        <f t="shared" si="1"/>
        <v>----</v>
      </c>
    </row>
    <row r="14" spans="1:11">
      <c r="A14" s="102"/>
      <c r="B14" s="103"/>
      <c r="C14" s="787"/>
      <c r="D14" s="746"/>
      <c r="E14" s="756"/>
      <c r="F14" s="791" t="str">
        <f t="shared" si="2"/>
        <v>----</v>
      </c>
      <c r="G14" s="756"/>
      <c r="H14" s="791" t="str">
        <f t="shared" si="0"/>
        <v>----</v>
      </c>
      <c r="I14" s="751"/>
      <c r="J14" s="792" t="str">
        <f t="shared" si="1"/>
        <v>----</v>
      </c>
    </row>
    <row r="15" spans="1:11">
      <c r="A15" s="102"/>
      <c r="B15" s="103"/>
      <c r="C15" s="787"/>
      <c r="D15" s="746"/>
      <c r="E15" s="756"/>
      <c r="F15" s="791" t="str">
        <f t="shared" si="2"/>
        <v>----</v>
      </c>
      <c r="G15" s="756"/>
      <c r="H15" s="791" t="str">
        <f t="shared" si="0"/>
        <v>----</v>
      </c>
      <c r="I15" s="751"/>
      <c r="J15" s="792" t="str">
        <f t="shared" si="1"/>
        <v>----</v>
      </c>
    </row>
    <row r="16" spans="1:11">
      <c r="A16" s="102"/>
      <c r="B16" s="103"/>
      <c r="C16" s="787"/>
      <c r="D16" s="746"/>
      <c r="E16" s="756"/>
      <c r="F16" s="791" t="str">
        <f t="shared" si="2"/>
        <v>----</v>
      </c>
      <c r="G16" s="756"/>
      <c r="H16" s="791" t="str">
        <f t="shared" si="0"/>
        <v>----</v>
      </c>
      <c r="I16" s="751"/>
      <c r="J16" s="792" t="str">
        <f t="shared" si="1"/>
        <v>----</v>
      </c>
    </row>
    <row r="17" spans="1:10">
      <c r="A17" s="102"/>
      <c r="B17" s="103"/>
      <c r="C17" s="787"/>
      <c r="D17" s="746"/>
      <c r="E17" s="756"/>
      <c r="F17" s="791" t="str">
        <f t="shared" si="2"/>
        <v>----</v>
      </c>
      <c r="G17" s="756"/>
      <c r="H17" s="791" t="str">
        <f t="shared" si="0"/>
        <v>----</v>
      </c>
      <c r="I17" s="751"/>
      <c r="J17" s="792" t="str">
        <f t="shared" si="1"/>
        <v>----</v>
      </c>
    </row>
    <row r="18" spans="1:10">
      <c r="A18" s="102"/>
      <c r="B18" s="103"/>
      <c r="C18" s="787"/>
      <c r="D18" s="746"/>
      <c r="E18" s="756"/>
      <c r="F18" s="791" t="str">
        <f t="shared" si="2"/>
        <v>----</v>
      </c>
      <c r="G18" s="756"/>
      <c r="H18" s="791" t="str">
        <f t="shared" si="0"/>
        <v>----</v>
      </c>
      <c r="I18" s="751"/>
      <c r="J18" s="792" t="str">
        <f t="shared" si="1"/>
        <v>----</v>
      </c>
    </row>
    <row r="19" spans="1:10">
      <c r="A19" s="102"/>
      <c r="B19" s="103"/>
      <c r="C19" s="787"/>
      <c r="D19" s="746"/>
      <c r="E19" s="756"/>
      <c r="F19" s="791" t="str">
        <f t="shared" si="2"/>
        <v>----</v>
      </c>
      <c r="G19" s="756"/>
      <c r="H19" s="791" t="str">
        <f t="shared" si="0"/>
        <v>----</v>
      </c>
      <c r="I19" s="751"/>
      <c r="J19" s="792" t="str">
        <f t="shared" si="1"/>
        <v>----</v>
      </c>
    </row>
    <row r="20" spans="1:10">
      <c r="A20" s="102"/>
      <c r="B20" s="103"/>
      <c r="C20" s="787"/>
      <c r="D20" s="746"/>
      <c r="E20" s="756"/>
      <c r="F20" s="791" t="str">
        <f t="shared" si="2"/>
        <v>----</v>
      </c>
      <c r="G20" s="756"/>
      <c r="H20" s="791" t="str">
        <f t="shared" si="0"/>
        <v>----</v>
      </c>
      <c r="I20" s="751"/>
      <c r="J20" s="792" t="str">
        <f t="shared" si="1"/>
        <v>----</v>
      </c>
    </row>
    <row r="21" spans="1:10">
      <c r="A21" s="116"/>
      <c r="B21" s="117"/>
      <c r="C21" s="790"/>
      <c r="D21" s="807"/>
      <c r="E21" s="757"/>
      <c r="F21" s="791" t="str">
        <f t="shared" si="2"/>
        <v>----</v>
      </c>
      <c r="G21" s="757"/>
      <c r="H21" s="791" t="str">
        <f t="shared" si="0"/>
        <v>----</v>
      </c>
      <c r="I21" s="752"/>
      <c r="J21" s="792" t="str">
        <f t="shared" si="1"/>
        <v>----</v>
      </c>
    </row>
    <row r="22" spans="1:10" ht="15.75" thickBot="1">
      <c r="A22" s="74"/>
      <c r="B22" s="75"/>
      <c r="C22" s="800"/>
      <c r="D22" s="808"/>
      <c r="E22" s="814"/>
      <c r="F22" s="819" t="str">
        <f t="shared" si="2"/>
        <v>----</v>
      </c>
      <c r="G22" s="814"/>
      <c r="H22" s="819" t="str">
        <f t="shared" si="0"/>
        <v>----</v>
      </c>
      <c r="I22" s="811"/>
      <c r="J22" s="820" t="str">
        <f t="shared" si="1"/>
        <v>----</v>
      </c>
    </row>
    <row r="23" spans="1:10" ht="15.75" thickBot="1">
      <c r="A23" s="27"/>
      <c r="B23" s="27"/>
      <c r="C23" s="832"/>
      <c r="D23" s="832"/>
      <c r="E23" s="832"/>
      <c r="F23" s="833">
        <f>SUM(F4:F22)</f>
        <v>256.60999999998603</v>
      </c>
      <c r="G23" s="832"/>
      <c r="H23" s="833">
        <f>SUM(H4:H22)</f>
        <v>0</v>
      </c>
      <c r="I23" s="832"/>
      <c r="J23" s="833">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7"/>
  </cols>
  <sheetData>
    <row r="1" spans="1:10" ht="15.75" thickBot="1">
      <c r="A1" s="932" t="s">
        <v>255</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69" thickBot="1">
      <c r="A3" s="940"/>
      <c r="B3" s="942"/>
      <c r="C3" s="942"/>
      <c r="D3" s="944"/>
      <c r="E3" s="465" t="s">
        <v>121</v>
      </c>
      <c r="F3" s="473" t="s">
        <v>705</v>
      </c>
      <c r="G3" s="465" t="s">
        <v>121</v>
      </c>
      <c r="H3" s="473" t="s">
        <v>705</v>
      </c>
      <c r="I3" s="483" t="s">
        <v>121</v>
      </c>
      <c r="J3" s="25" t="s">
        <v>705</v>
      </c>
    </row>
    <row r="4" spans="1:10">
      <c r="A4" s="70">
        <v>44460</v>
      </c>
      <c r="B4" s="71" t="s">
        <v>452</v>
      </c>
      <c r="C4" s="72">
        <v>649012.47999999998</v>
      </c>
      <c r="D4" s="434">
        <v>403222.48</v>
      </c>
      <c r="E4" s="474"/>
      <c r="F4" s="475" t="str">
        <f>IF(ISBLANK(E4),"----",E4-$D4)</f>
        <v>----</v>
      </c>
      <c r="G4" s="474"/>
      <c r="H4" s="475" t="str">
        <f t="shared" ref="H4:H21" si="0">IF(OR(G4="Complete",ISBLANK(G4)),"----",G4-$D4)</f>
        <v>----</v>
      </c>
      <c r="I4" s="484"/>
      <c r="J4" s="73" t="str">
        <f t="shared" ref="J4:J21" si="1">IF(OR(I4="Complete",ISBLANK(I4)),"----",I4-$D4)</f>
        <v>----</v>
      </c>
    </row>
    <row r="5" spans="1:10">
      <c r="A5" s="88">
        <v>44607</v>
      </c>
      <c r="B5" s="101" t="s">
        <v>506</v>
      </c>
      <c r="C5" s="82">
        <v>544017.65</v>
      </c>
      <c r="D5" s="436">
        <v>435214.12</v>
      </c>
      <c r="E5" s="476"/>
      <c r="F5" s="477" t="str">
        <f t="shared" ref="F5:F21" si="2">IF(ISBLANK(E5),"----",E5-$D5)</f>
        <v>----</v>
      </c>
      <c r="G5" s="476"/>
      <c r="H5" s="477" t="str">
        <f t="shared" si="0"/>
        <v>----</v>
      </c>
      <c r="I5" s="489"/>
      <c r="J5" s="83" t="str">
        <f t="shared" si="1"/>
        <v>----</v>
      </c>
    </row>
    <row r="6" spans="1:10">
      <c r="A6" s="88">
        <v>44670</v>
      </c>
      <c r="B6" s="101" t="s">
        <v>514</v>
      </c>
      <c r="C6" s="82">
        <v>687220.2</v>
      </c>
      <c r="D6" s="436">
        <f>C6</f>
        <v>687220.2</v>
      </c>
      <c r="E6" s="476"/>
      <c r="F6" s="477" t="str">
        <f t="shared" si="2"/>
        <v>----</v>
      </c>
      <c r="G6" s="476"/>
      <c r="H6" s="477" t="str">
        <f t="shared" si="0"/>
        <v>----</v>
      </c>
      <c r="I6" s="489"/>
      <c r="J6" s="83" t="str">
        <f t="shared" si="1"/>
        <v>----</v>
      </c>
    </row>
    <row r="7" spans="1:10">
      <c r="A7" s="88"/>
      <c r="B7" s="101"/>
      <c r="C7" s="82"/>
      <c r="D7" s="436"/>
      <c r="E7" s="476"/>
      <c r="F7" s="477" t="str">
        <f t="shared" si="2"/>
        <v>----</v>
      </c>
      <c r="G7" s="476"/>
      <c r="H7" s="477" t="str">
        <f t="shared" si="0"/>
        <v>----</v>
      </c>
      <c r="I7" s="489"/>
      <c r="J7" s="83" t="str">
        <f t="shared" si="1"/>
        <v>----</v>
      </c>
    </row>
    <row r="8" spans="1:10">
      <c r="A8" s="88"/>
      <c r="B8" s="101"/>
      <c r="C8" s="82"/>
      <c r="D8" s="436"/>
      <c r="E8" s="476"/>
      <c r="F8" s="477" t="str">
        <f t="shared" si="2"/>
        <v>----</v>
      </c>
      <c r="G8" s="476"/>
      <c r="H8" s="477" t="str">
        <f t="shared" si="0"/>
        <v>----</v>
      </c>
      <c r="I8" s="489"/>
      <c r="J8" s="83" t="str">
        <f t="shared" si="1"/>
        <v>----</v>
      </c>
    </row>
    <row r="9" spans="1:10">
      <c r="A9" s="88"/>
      <c r="B9" s="101"/>
      <c r="C9" s="82"/>
      <c r="D9" s="436"/>
      <c r="E9" s="476"/>
      <c r="F9" s="477" t="str">
        <f t="shared" si="2"/>
        <v>----</v>
      </c>
      <c r="G9" s="476"/>
      <c r="H9" s="477" t="str">
        <f t="shared" si="0"/>
        <v>----</v>
      </c>
      <c r="I9" s="489"/>
      <c r="J9" s="83" t="str">
        <f t="shared" si="1"/>
        <v>----</v>
      </c>
    </row>
    <row r="10" spans="1:10">
      <c r="A10" s="88"/>
      <c r="B10" s="101"/>
      <c r="C10" s="82"/>
      <c r="D10" s="436"/>
      <c r="E10" s="476"/>
      <c r="F10" s="477" t="str">
        <f t="shared" si="2"/>
        <v>----</v>
      </c>
      <c r="G10" s="476"/>
      <c r="H10" s="477" t="str">
        <f t="shared" si="0"/>
        <v>----</v>
      </c>
      <c r="I10" s="489"/>
      <c r="J10" s="83" t="str">
        <f t="shared" si="1"/>
        <v>----</v>
      </c>
    </row>
    <row r="11" spans="1:10">
      <c r="A11" s="88"/>
      <c r="B11" s="101"/>
      <c r="C11" s="82"/>
      <c r="D11" s="436"/>
      <c r="E11" s="476"/>
      <c r="F11" s="477" t="str">
        <f t="shared" si="2"/>
        <v>----</v>
      </c>
      <c r="G11" s="476"/>
      <c r="H11" s="477" t="str">
        <f t="shared" si="0"/>
        <v>----</v>
      </c>
      <c r="I11" s="489"/>
      <c r="J11" s="83" t="str">
        <f t="shared" si="1"/>
        <v>----</v>
      </c>
    </row>
    <row r="12" spans="1:10">
      <c r="A12" s="88"/>
      <c r="B12" s="101"/>
      <c r="C12" s="82"/>
      <c r="D12" s="436"/>
      <c r="E12" s="476"/>
      <c r="F12" s="477" t="str">
        <f t="shared" si="2"/>
        <v>----</v>
      </c>
      <c r="G12" s="476"/>
      <c r="H12" s="477" t="str">
        <f t="shared" si="0"/>
        <v>----</v>
      </c>
      <c r="I12" s="489"/>
      <c r="J12" s="83" t="str">
        <f t="shared" si="1"/>
        <v>----</v>
      </c>
    </row>
    <row r="13" spans="1:10">
      <c r="A13" s="88"/>
      <c r="B13" s="101"/>
      <c r="C13" s="82"/>
      <c r="D13" s="436"/>
      <c r="E13" s="476"/>
      <c r="F13" s="477" t="str">
        <f t="shared" si="2"/>
        <v>----</v>
      </c>
      <c r="G13" s="476"/>
      <c r="H13" s="477" t="str">
        <f t="shared" si="0"/>
        <v>----</v>
      </c>
      <c r="I13" s="489"/>
      <c r="J13" s="83" t="str">
        <f t="shared" si="1"/>
        <v>----</v>
      </c>
    </row>
    <row r="14" spans="1:10">
      <c r="A14" s="88"/>
      <c r="B14" s="101"/>
      <c r="C14" s="82"/>
      <c r="D14" s="436"/>
      <c r="E14" s="476"/>
      <c r="F14" s="477" t="str">
        <f t="shared" si="2"/>
        <v>----</v>
      </c>
      <c r="G14" s="476"/>
      <c r="H14" s="477" t="str">
        <f t="shared" si="0"/>
        <v>----</v>
      </c>
      <c r="I14" s="489"/>
      <c r="J14" s="83" t="str">
        <f t="shared" si="1"/>
        <v>----</v>
      </c>
    </row>
    <row r="15" spans="1:10">
      <c r="A15" s="88"/>
      <c r="B15" s="101"/>
      <c r="C15" s="82"/>
      <c r="D15" s="436"/>
      <c r="E15" s="476"/>
      <c r="F15" s="477" t="str">
        <f t="shared" si="2"/>
        <v>----</v>
      </c>
      <c r="G15" s="476"/>
      <c r="H15" s="477" t="str">
        <f t="shared" si="0"/>
        <v>----</v>
      </c>
      <c r="I15" s="489"/>
      <c r="J15" s="83" t="str">
        <f t="shared" si="1"/>
        <v>----</v>
      </c>
    </row>
    <row r="16" spans="1:10">
      <c r="A16" s="88"/>
      <c r="B16" s="101"/>
      <c r="C16" s="82"/>
      <c r="D16" s="436"/>
      <c r="E16" s="476"/>
      <c r="F16" s="477" t="str">
        <f t="shared" si="2"/>
        <v>----</v>
      </c>
      <c r="G16" s="476"/>
      <c r="H16" s="477" t="str">
        <f t="shared" si="0"/>
        <v>----</v>
      </c>
      <c r="I16" s="489"/>
      <c r="J16" s="83" t="str">
        <f t="shared" si="1"/>
        <v>----</v>
      </c>
    </row>
    <row r="17" spans="1:10">
      <c r="A17" s="88"/>
      <c r="B17" s="101"/>
      <c r="C17" s="82"/>
      <c r="D17" s="436"/>
      <c r="E17" s="476"/>
      <c r="F17" s="477" t="str">
        <f t="shared" si="2"/>
        <v>----</v>
      </c>
      <c r="G17" s="476"/>
      <c r="H17" s="477" t="str">
        <f t="shared" si="0"/>
        <v>----</v>
      </c>
      <c r="I17" s="489"/>
      <c r="J17" s="83" t="str">
        <f t="shared" si="1"/>
        <v>----</v>
      </c>
    </row>
    <row r="18" spans="1:10">
      <c r="A18" s="88"/>
      <c r="B18" s="101"/>
      <c r="C18" s="82"/>
      <c r="D18" s="436"/>
      <c r="E18" s="476"/>
      <c r="F18" s="477" t="str">
        <f t="shared" si="2"/>
        <v>----</v>
      </c>
      <c r="G18" s="476"/>
      <c r="H18" s="477" t="str">
        <f t="shared" si="0"/>
        <v>----</v>
      </c>
      <c r="I18" s="489"/>
      <c r="J18" s="83" t="str">
        <f t="shared" si="1"/>
        <v>----</v>
      </c>
    </row>
    <row r="19" spans="1:10">
      <c r="A19" s="88"/>
      <c r="B19" s="101"/>
      <c r="C19" s="82"/>
      <c r="D19" s="436"/>
      <c r="E19" s="476"/>
      <c r="F19" s="477" t="str">
        <f t="shared" si="2"/>
        <v>----</v>
      </c>
      <c r="G19" s="476"/>
      <c r="H19" s="477" t="str">
        <f t="shared" si="0"/>
        <v>----</v>
      </c>
      <c r="I19" s="489"/>
      <c r="J19" s="83" t="str">
        <f t="shared" si="1"/>
        <v>----</v>
      </c>
    </row>
    <row r="20" spans="1:10">
      <c r="A20" s="91"/>
      <c r="B20" s="92"/>
      <c r="C20" s="84"/>
      <c r="D20" s="482"/>
      <c r="E20" s="487"/>
      <c r="F20" s="488" t="str">
        <f t="shared" si="2"/>
        <v>----</v>
      </c>
      <c r="G20" s="487"/>
      <c r="H20" s="488" t="str">
        <f t="shared" si="0"/>
        <v>----</v>
      </c>
      <c r="I20" s="485"/>
      <c r="J20" s="85" t="str">
        <f t="shared" si="1"/>
        <v>----</v>
      </c>
    </row>
    <row r="21" spans="1:10" ht="15.75" thickBot="1">
      <c r="A21" s="74"/>
      <c r="B21" s="75"/>
      <c r="C21" s="76"/>
      <c r="D21" s="435"/>
      <c r="E21" s="480"/>
      <c r="F21" s="481" t="str">
        <f t="shared" si="2"/>
        <v>----</v>
      </c>
      <c r="G21" s="480"/>
      <c r="H21" s="481" t="str">
        <f t="shared" si="0"/>
        <v>----</v>
      </c>
      <c r="I21" s="486"/>
      <c r="J21" s="77" t="str">
        <f t="shared" si="1"/>
        <v>----</v>
      </c>
    </row>
    <row r="22" spans="1:10" ht="15.75" thickBot="1">
      <c r="A22" s="27"/>
      <c r="B22" s="27"/>
      <c r="C22" s="28"/>
      <c r="D22" s="28"/>
      <c r="E22" s="444"/>
      <c r="F22" s="446">
        <f>SUM(F4:F21)</f>
        <v>0</v>
      </c>
      <c r="G22" s="444"/>
      <c r="H22" s="446">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7" customWidth="1"/>
    <col min="6" max="6" width="12" style="437" customWidth="1"/>
    <col min="7" max="7" width="11" style="437" customWidth="1"/>
    <col min="8" max="8" width="12" style="437" customWidth="1"/>
    <col min="9" max="9" width="11" customWidth="1"/>
    <col min="10" max="10" width="12" customWidth="1"/>
  </cols>
  <sheetData>
    <row r="1" spans="1:11" ht="15.75" thickBot="1">
      <c r="A1" s="932" t="s">
        <v>178</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70">
        <v>43852</v>
      </c>
      <c r="B4" s="71" t="s">
        <v>205</v>
      </c>
      <c r="C4" s="72">
        <v>687124.43</v>
      </c>
      <c r="D4" s="434">
        <f>C4</f>
        <v>687124.43</v>
      </c>
      <c r="E4" s="474">
        <v>682969.58</v>
      </c>
      <c r="F4" s="475">
        <f>IF(ISBLANK(E4),"----",E4-$D4)</f>
        <v>-4154.8500000000931</v>
      </c>
      <c r="G4" s="474" t="s">
        <v>704</v>
      </c>
      <c r="H4" s="475" t="str">
        <f t="shared" ref="H4:H21" si="0">IF(OR(G4="Complete",ISBLANK(G4)),"----",G4-$D4)</f>
        <v>----</v>
      </c>
      <c r="I4" s="484" t="s">
        <v>704</v>
      </c>
      <c r="J4" s="73" t="str">
        <f t="shared" ref="J4:J21" si="1">IF(OR(I4="Complete",ISBLANK(I4)),"----",I4-$D4)</f>
        <v>----</v>
      </c>
    </row>
    <row r="5" spans="1:11">
      <c r="A5" s="91">
        <v>43852</v>
      </c>
      <c r="B5" s="92" t="s">
        <v>206</v>
      </c>
      <c r="C5" s="84">
        <v>229395.45</v>
      </c>
      <c r="D5" s="482">
        <f>C5</f>
        <v>229395.45</v>
      </c>
      <c r="E5" s="487">
        <v>228968.7</v>
      </c>
      <c r="F5" s="477">
        <f t="shared" ref="F5:F21" si="2">IF(ISBLANK(E5),"----",E5-$D5)</f>
        <v>-426.75</v>
      </c>
      <c r="G5" s="487" t="s">
        <v>704</v>
      </c>
      <c r="H5" s="477" t="str">
        <f t="shared" si="0"/>
        <v>----</v>
      </c>
      <c r="I5" s="485" t="s">
        <v>704</v>
      </c>
      <c r="J5" s="83" t="str">
        <f t="shared" si="1"/>
        <v>----</v>
      </c>
    </row>
    <row r="6" spans="1:11">
      <c r="A6" s="102">
        <v>44089</v>
      </c>
      <c r="B6" s="103" t="s">
        <v>606</v>
      </c>
      <c r="C6" s="87">
        <v>544621.5</v>
      </c>
      <c r="D6" s="471">
        <f>C6</f>
        <v>544621.5</v>
      </c>
      <c r="E6" s="478">
        <v>537900.15</v>
      </c>
      <c r="F6" s="477">
        <f t="shared" si="2"/>
        <v>-6721.3499999999767</v>
      </c>
      <c r="G6" s="478" t="s">
        <v>704</v>
      </c>
      <c r="H6" s="477" t="str">
        <f t="shared" si="0"/>
        <v>----</v>
      </c>
      <c r="I6" s="491" t="s">
        <v>704</v>
      </c>
      <c r="J6" s="83" t="str">
        <f t="shared" si="1"/>
        <v>----</v>
      </c>
    </row>
    <row r="7" spans="1:11">
      <c r="A7" s="323">
        <v>44915</v>
      </c>
      <c r="B7" s="324" t="s">
        <v>605</v>
      </c>
      <c r="C7" s="325">
        <v>998456.75</v>
      </c>
      <c r="D7" s="530">
        <f>C7</f>
        <v>998456.75</v>
      </c>
      <c r="E7" s="532"/>
      <c r="F7" s="533" t="str">
        <f t="shared" si="2"/>
        <v>----</v>
      </c>
      <c r="G7" s="532"/>
      <c r="H7" s="533" t="str">
        <f t="shared" si="0"/>
        <v>----</v>
      </c>
      <c r="I7" s="531"/>
      <c r="J7" s="326" t="str">
        <f t="shared" si="1"/>
        <v>----</v>
      </c>
      <c r="K7" s="327" t="s">
        <v>148</v>
      </c>
    </row>
    <row r="8" spans="1:11">
      <c r="A8" s="102">
        <v>45308</v>
      </c>
      <c r="B8" s="103" t="s">
        <v>715</v>
      </c>
      <c r="C8" s="87">
        <v>1240402.1100000001</v>
      </c>
      <c r="D8" s="471">
        <f>C8</f>
        <v>1240402.1100000001</v>
      </c>
      <c r="E8" s="478"/>
      <c r="F8" s="477" t="str">
        <f t="shared" si="2"/>
        <v>----</v>
      </c>
      <c r="G8" s="478"/>
      <c r="H8" s="477" t="str">
        <f t="shared" si="0"/>
        <v>----</v>
      </c>
      <c r="I8" s="491"/>
      <c r="J8" s="83" t="str">
        <f t="shared" si="1"/>
        <v>----</v>
      </c>
    </row>
    <row r="9" spans="1:11">
      <c r="A9" s="102"/>
      <c r="B9" s="103"/>
      <c r="C9" s="87"/>
      <c r="D9" s="471"/>
      <c r="E9" s="478"/>
      <c r="F9" s="477" t="str">
        <f t="shared" si="2"/>
        <v>----</v>
      </c>
      <c r="G9" s="478"/>
      <c r="H9" s="477" t="str">
        <f t="shared" si="0"/>
        <v>----</v>
      </c>
      <c r="I9" s="491"/>
      <c r="J9" s="83" t="str">
        <f t="shared" si="1"/>
        <v>----</v>
      </c>
    </row>
    <row r="10" spans="1:11">
      <c r="A10" s="102"/>
      <c r="B10" s="103"/>
      <c r="C10" s="87"/>
      <c r="D10" s="471"/>
      <c r="E10" s="478"/>
      <c r="F10" s="477" t="str">
        <f t="shared" si="2"/>
        <v>----</v>
      </c>
      <c r="G10" s="478"/>
      <c r="H10" s="477" t="str">
        <f t="shared" si="0"/>
        <v>----</v>
      </c>
      <c r="I10" s="491"/>
      <c r="J10" s="83" t="str">
        <f t="shared" si="1"/>
        <v>----</v>
      </c>
    </row>
    <row r="11" spans="1:11">
      <c r="A11" s="102"/>
      <c r="B11" s="103"/>
      <c r="C11" s="87"/>
      <c r="D11" s="471"/>
      <c r="E11" s="478"/>
      <c r="F11" s="477" t="str">
        <f t="shared" si="2"/>
        <v>----</v>
      </c>
      <c r="G11" s="478"/>
      <c r="H11" s="477" t="str">
        <f t="shared" si="0"/>
        <v>----</v>
      </c>
      <c r="I11" s="491"/>
      <c r="J11" s="83" t="str">
        <f t="shared" si="1"/>
        <v>----</v>
      </c>
    </row>
    <row r="12" spans="1:11">
      <c r="A12" s="102"/>
      <c r="B12" s="103"/>
      <c r="C12" s="87"/>
      <c r="D12" s="471"/>
      <c r="E12" s="478"/>
      <c r="F12" s="477" t="str">
        <f t="shared" si="2"/>
        <v>----</v>
      </c>
      <c r="G12" s="478"/>
      <c r="H12" s="477" t="str">
        <f t="shared" si="0"/>
        <v>----</v>
      </c>
      <c r="I12" s="491"/>
      <c r="J12" s="83" t="str">
        <f t="shared" si="1"/>
        <v>----</v>
      </c>
    </row>
    <row r="13" spans="1:11">
      <c r="A13" s="102"/>
      <c r="B13" s="103"/>
      <c r="C13" s="87"/>
      <c r="D13" s="471"/>
      <c r="E13" s="478"/>
      <c r="F13" s="477" t="str">
        <f t="shared" si="2"/>
        <v>----</v>
      </c>
      <c r="G13" s="478"/>
      <c r="H13" s="477" t="str">
        <f t="shared" si="0"/>
        <v>----</v>
      </c>
      <c r="I13" s="491"/>
      <c r="J13" s="83" t="str">
        <f t="shared" si="1"/>
        <v>----</v>
      </c>
    </row>
    <row r="14" spans="1:11">
      <c r="A14" s="102"/>
      <c r="B14" s="103"/>
      <c r="C14" s="87"/>
      <c r="D14" s="471"/>
      <c r="E14" s="478"/>
      <c r="F14" s="477" t="str">
        <f t="shared" si="2"/>
        <v>----</v>
      </c>
      <c r="G14" s="478"/>
      <c r="H14" s="477" t="str">
        <f t="shared" si="0"/>
        <v>----</v>
      </c>
      <c r="I14" s="491"/>
      <c r="J14" s="83" t="str">
        <f t="shared" si="1"/>
        <v>----</v>
      </c>
    </row>
    <row r="15" spans="1:11">
      <c r="A15" s="102"/>
      <c r="B15" s="103"/>
      <c r="C15" s="87"/>
      <c r="D15" s="471"/>
      <c r="E15" s="478"/>
      <c r="F15" s="477" t="str">
        <f t="shared" si="2"/>
        <v>----</v>
      </c>
      <c r="G15" s="478"/>
      <c r="H15" s="477" t="str">
        <f t="shared" si="0"/>
        <v>----</v>
      </c>
      <c r="I15" s="491"/>
      <c r="J15" s="83" t="str">
        <f t="shared" si="1"/>
        <v>----</v>
      </c>
    </row>
    <row r="16" spans="1:11">
      <c r="A16" s="102"/>
      <c r="B16" s="103"/>
      <c r="C16" s="87"/>
      <c r="D16" s="471"/>
      <c r="E16" s="478"/>
      <c r="F16" s="477" t="str">
        <f t="shared" si="2"/>
        <v>----</v>
      </c>
      <c r="G16" s="478"/>
      <c r="H16" s="477" t="str">
        <f t="shared" si="0"/>
        <v>----</v>
      </c>
      <c r="I16" s="491"/>
      <c r="J16" s="83" t="str">
        <f t="shared" si="1"/>
        <v>----</v>
      </c>
    </row>
    <row r="17" spans="1:10">
      <c r="A17" s="102"/>
      <c r="B17" s="103"/>
      <c r="C17" s="87"/>
      <c r="D17" s="471"/>
      <c r="E17" s="478"/>
      <c r="F17" s="477" t="str">
        <f t="shared" si="2"/>
        <v>----</v>
      </c>
      <c r="G17" s="478"/>
      <c r="H17" s="477" t="str">
        <f t="shared" si="0"/>
        <v>----</v>
      </c>
      <c r="I17" s="491"/>
      <c r="J17" s="83" t="str">
        <f t="shared" si="1"/>
        <v>----</v>
      </c>
    </row>
    <row r="18" spans="1:10">
      <c r="A18" s="102"/>
      <c r="B18" s="103"/>
      <c r="C18" s="87"/>
      <c r="D18" s="471"/>
      <c r="E18" s="478"/>
      <c r="F18" s="477" t="str">
        <f t="shared" si="2"/>
        <v>----</v>
      </c>
      <c r="G18" s="478"/>
      <c r="H18" s="477" t="str">
        <f t="shared" si="0"/>
        <v>----</v>
      </c>
      <c r="I18" s="491"/>
      <c r="J18" s="83" t="str">
        <f t="shared" si="1"/>
        <v>----</v>
      </c>
    </row>
    <row r="19" spans="1:10">
      <c r="A19" s="102"/>
      <c r="B19" s="103"/>
      <c r="C19" s="87"/>
      <c r="D19" s="471"/>
      <c r="E19" s="478"/>
      <c r="F19" s="477" t="str">
        <f t="shared" si="2"/>
        <v>----</v>
      </c>
      <c r="G19" s="478"/>
      <c r="H19" s="477" t="str">
        <f t="shared" si="0"/>
        <v>----</v>
      </c>
      <c r="I19" s="491"/>
      <c r="J19" s="83" t="str">
        <f t="shared" si="1"/>
        <v>----</v>
      </c>
    </row>
    <row r="20" spans="1:10">
      <c r="A20" s="102"/>
      <c r="B20" s="103"/>
      <c r="C20" s="87"/>
      <c r="D20" s="471"/>
      <c r="E20" s="478"/>
      <c r="F20" s="477" t="str">
        <f t="shared" si="2"/>
        <v>----</v>
      </c>
      <c r="G20" s="478"/>
      <c r="H20" s="477" t="str">
        <f t="shared" si="0"/>
        <v>----</v>
      </c>
      <c r="I20" s="491"/>
      <c r="J20" s="83" t="str">
        <f t="shared" si="1"/>
        <v>----</v>
      </c>
    </row>
    <row r="21" spans="1:10" ht="15.75" thickBot="1">
      <c r="A21" s="74"/>
      <c r="B21" s="75"/>
      <c r="C21" s="76"/>
      <c r="D21" s="435"/>
      <c r="E21" s="480"/>
      <c r="F21" s="481" t="str">
        <f t="shared" si="2"/>
        <v>----</v>
      </c>
      <c r="G21" s="480"/>
      <c r="H21" s="481" t="str">
        <f t="shared" si="0"/>
        <v>----</v>
      </c>
      <c r="I21" s="486"/>
      <c r="J21" s="77" t="str">
        <f t="shared" si="1"/>
        <v>----</v>
      </c>
    </row>
    <row r="22" spans="1:10" ht="15.75" thickBot="1">
      <c r="A22" s="27"/>
      <c r="B22" s="27"/>
      <c r="C22" s="28"/>
      <c r="D22" s="28"/>
      <c r="E22" s="444"/>
      <c r="F22" s="446">
        <f>SUM(F4:F21)</f>
        <v>-11302.95000000007</v>
      </c>
      <c r="G22" s="444"/>
      <c r="H22" s="446">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28" t="s">
        <v>0</v>
      </c>
      <c r="B1" s="930" t="s">
        <v>1</v>
      </c>
      <c r="C1" s="925" t="s">
        <v>114</v>
      </c>
      <c r="D1" s="17"/>
    </row>
    <row r="2" spans="1:4">
      <c r="A2" s="928"/>
      <c r="B2" s="930"/>
      <c r="C2" s="926"/>
      <c r="D2" s="17"/>
    </row>
    <row r="3" spans="1:4" ht="18.600000000000001" customHeight="1">
      <c r="A3" s="929"/>
      <c r="B3" s="931"/>
      <c r="C3" s="927"/>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0</v>
      </c>
    </row>
    <row r="8" spans="1:4">
      <c r="A8" s="7" t="s">
        <v>6</v>
      </c>
      <c r="B8" s="6">
        <v>5</v>
      </c>
      <c r="C8" s="23">
        <f>Audubon!J23</f>
        <v>0</v>
      </c>
    </row>
    <row r="9" spans="1:4" s="15" customFormat="1">
      <c r="A9" s="13" t="s">
        <v>7</v>
      </c>
      <c r="B9" s="14">
        <v>6</v>
      </c>
      <c r="C9" s="23">
        <f>Benton!J23</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0</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0</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0</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0</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0</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0</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0</v>
      </c>
    </row>
    <row r="55" spans="1:3">
      <c r="A55" s="7" t="s">
        <v>53</v>
      </c>
      <c r="B55" s="6">
        <v>52</v>
      </c>
      <c r="C55" s="23">
        <f>Johnson!J15</f>
        <v>0</v>
      </c>
    </row>
    <row r="56" spans="1:3">
      <c r="A56" s="7" t="s">
        <v>54</v>
      </c>
      <c r="B56" s="6">
        <v>53</v>
      </c>
      <c r="C56" s="23">
        <f>Jones!J8</f>
        <v>0</v>
      </c>
    </row>
    <row r="57" spans="1:3">
      <c r="A57" s="7" t="s">
        <v>55</v>
      </c>
      <c r="B57" s="6">
        <v>54</v>
      </c>
      <c r="C57" s="23">
        <f>Keokuk!J8</f>
        <v>0</v>
      </c>
    </row>
    <row r="58" spans="1:3">
      <c r="A58" s="7" t="s">
        <v>56</v>
      </c>
      <c r="B58" s="6">
        <v>55</v>
      </c>
      <c r="C58" s="23">
        <f>Kossuth!J22</f>
        <v>45174.350000000093</v>
      </c>
    </row>
    <row r="59" spans="1:3" s="15" customFormat="1">
      <c r="A59" s="13" t="s">
        <v>57</v>
      </c>
      <c r="B59" s="14">
        <v>56</v>
      </c>
      <c r="C59" s="23">
        <f>Lee!J21</f>
        <v>0</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0</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0</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0</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0</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0</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0</v>
      </c>
    </row>
    <row r="99" spans="1:3" s="15" customFormat="1">
      <c r="A99" s="16" t="s">
        <v>97</v>
      </c>
      <c r="B99" s="14">
        <v>96</v>
      </c>
      <c r="C99" s="23">
        <f>Winneshiek!J20</f>
        <v>0</v>
      </c>
    </row>
    <row r="100" spans="1:3">
      <c r="A100" s="8" t="s">
        <v>98</v>
      </c>
      <c r="B100" s="6">
        <v>97</v>
      </c>
      <c r="C100" s="23">
        <f>Woodbury!J23</f>
        <v>0</v>
      </c>
    </row>
    <row r="101" spans="1:3">
      <c r="A101" s="8" t="s">
        <v>99</v>
      </c>
      <c r="B101" s="6">
        <v>98</v>
      </c>
      <c r="C101" s="23">
        <f>Worth!J22</f>
        <v>0</v>
      </c>
    </row>
    <row r="102" spans="1:3">
      <c r="A102" s="7" t="s">
        <v>100</v>
      </c>
      <c r="B102" s="6">
        <v>99</v>
      </c>
      <c r="C102" s="23">
        <f>Wright!J26</f>
        <v>0</v>
      </c>
    </row>
    <row r="103" spans="1:3" s="15" customFormat="1">
      <c r="C103" s="23">
        <f>SUM(C4:C102)</f>
        <v>112083.78000000026</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I9" sqref="I9"/>
    </sheetView>
  </sheetViews>
  <sheetFormatPr defaultRowHeight="15"/>
  <cols>
    <col min="2" max="2" width="22.85546875" bestFit="1" customWidth="1"/>
    <col min="3" max="3" width="12" bestFit="1" customWidth="1"/>
    <col min="4" max="4" width="12" customWidth="1"/>
    <col min="5" max="5" width="10.7109375" style="437" bestFit="1" customWidth="1"/>
    <col min="6" max="6" width="15" style="437" customWidth="1"/>
    <col min="7" max="7" width="10.7109375" style="437" bestFit="1" customWidth="1"/>
    <col min="8" max="8" width="15" style="437" customWidth="1"/>
    <col min="9" max="9" width="10.7109375" bestFit="1" customWidth="1"/>
    <col min="10" max="10" width="15" customWidth="1"/>
  </cols>
  <sheetData>
    <row r="1" spans="1:11" ht="15.75" thickBot="1">
      <c r="A1" s="932" t="s">
        <v>179</v>
      </c>
      <c r="B1" s="933"/>
      <c r="C1" s="933"/>
      <c r="D1" s="933"/>
      <c r="E1" s="933"/>
      <c r="F1" s="933"/>
      <c r="G1" s="933"/>
      <c r="H1" s="933"/>
      <c r="I1" s="933"/>
      <c r="J1" s="934"/>
    </row>
    <row r="2" spans="1:11" s="437" customFormat="1">
      <c r="A2" s="956" t="s">
        <v>110</v>
      </c>
      <c r="B2" s="958" t="s">
        <v>111</v>
      </c>
      <c r="C2" s="958" t="s">
        <v>112</v>
      </c>
      <c r="D2" s="960" t="s">
        <v>120</v>
      </c>
      <c r="E2" s="937" t="s">
        <v>702</v>
      </c>
      <c r="F2" s="938"/>
      <c r="G2" s="937" t="s">
        <v>703</v>
      </c>
      <c r="H2" s="938"/>
      <c r="I2" s="912" t="s">
        <v>801</v>
      </c>
      <c r="J2" s="913"/>
    </row>
    <row r="3" spans="1:11" ht="46.5" thickBot="1">
      <c r="A3" s="957"/>
      <c r="B3" s="959"/>
      <c r="C3" s="959"/>
      <c r="D3" s="961"/>
      <c r="E3" s="465" t="s">
        <v>121</v>
      </c>
      <c r="F3" s="473" t="s">
        <v>705</v>
      </c>
      <c r="G3" s="465" t="s">
        <v>121</v>
      </c>
      <c r="H3" s="473" t="s">
        <v>705</v>
      </c>
      <c r="I3" s="483" t="s">
        <v>121</v>
      </c>
      <c r="J3" s="25" t="s">
        <v>705</v>
      </c>
    </row>
    <row r="4" spans="1:11">
      <c r="A4" s="70">
        <v>43852</v>
      </c>
      <c r="B4" s="259" t="s">
        <v>202</v>
      </c>
      <c r="C4" s="72">
        <v>1184493.3999999999</v>
      </c>
      <c r="D4" s="434">
        <v>236898.68</v>
      </c>
      <c r="E4" s="474"/>
      <c r="F4" s="475" t="str">
        <f>IF(ISBLANK(E4),"----",E4-$D4)</f>
        <v>----</v>
      </c>
      <c r="G4" s="474"/>
      <c r="H4" s="475" t="str">
        <f t="shared" ref="H4:H26" si="0">IF(OR(G4="Complete",ISBLANK(G4)),"----",G4-$D4)</f>
        <v>----</v>
      </c>
      <c r="I4" s="484"/>
      <c r="J4" s="73" t="str">
        <f t="shared" ref="J4:J26" si="1">IF(OR(I4="Complete",ISBLANK(I4)),"----",I4-$D4)</f>
        <v>----</v>
      </c>
      <c r="K4" t="s">
        <v>204</v>
      </c>
    </row>
    <row r="5" spans="1:11">
      <c r="A5" s="91">
        <v>43852</v>
      </c>
      <c r="B5" s="262" t="s">
        <v>203</v>
      </c>
      <c r="C5" s="84">
        <v>575252.1</v>
      </c>
      <c r="D5" s="482">
        <f>C5</f>
        <v>575252.1</v>
      </c>
      <c r="E5" s="487">
        <v>588052.5</v>
      </c>
      <c r="F5" s="488">
        <f t="shared" ref="F5:F26" si="2">IF(ISBLANK(E5),"----",E5-$D5)</f>
        <v>12800.400000000023</v>
      </c>
      <c r="G5" s="487" t="s">
        <v>704</v>
      </c>
      <c r="H5" s="488" t="str">
        <f t="shared" si="0"/>
        <v>----</v>
      </c>
      <c r="I5" s="485" t="s">
        <v>704</v>
      </c>
      <c r="J5" s="85" t="str">
        <f t="shared" si="1"/>
        <v>----</v>
      </c>
    </row>
    <row r="6" spans="1:11">
      <c r="A6" s="102">
        <v>44551</v>
      </c>
      <c r="B6" s="258" t="s">
        <v>479</v>
      </c>
      <c r="C6" s="87">
        <v>274210.65000000002</v>
      </c>
      <c r="D6" s="471">
        <f>C6</f>
        <v>274210.65000000002</v>
      </c>
      <c r="E6" s="478">
        <v>270878.15000000002</v>
      </c>
      <c r="F6" s="490">
        <f t="shared" si="2"/>
        <v>-3332.5</v>
      </c>
      <c r="G6" s="478" t="s">
        <v>704</v>
      </c>
      <c r="H6" s="490" t="str">
        <f t="shared" si="0"/>
        <v>----</v>
      </c>
      <c r="I6" s="491" t="s">
        <v>704</v>
      </c>
      <c r="J6" s="115" t="str">
        <f t="shared" si="1"/>
        <v>----</v>
      </c>
    </row>
    <row r="7" spans="1:11">
      <c r="A7" s="102">
        <v>44551</v>
      </c>
      <c r="B7" s="258" t="s">
        <v>480</v>
      </c>
      <c r="C7" s="87">
        <v>268305.05</v>
      </c>
      <c r="D7" s="471">
        <f>C7</f>
        <v>268305.05</v>
      </c>
      <c r="E7" s="478">
        <v>263971.55</v>
      </c>
      <c r="F7" s="490">
        <f t="shared" si="2"/>
        <v>-4333.5</v>
      </c>
      <c r="G7" s="478" t="s">
        <v>704</v>
      </c>
      <c r="H7" s="490" t="str">
        <f t="shared" si="0"/>
        <v>----</v>
      </c>
      <c r="I7" s="491" t="s">
        <v>704</v>
      </c>
      <c r="J7" s="115" t="str">
        <f t="shared" si="1"/>
        <v>----</v>
      </c>
    </row>
    <row r="8" spans="1:11">
      <c r="A8" s="102">
        <v>44880</v>
      </c>
      <c r="B8" s="258" t="s">
        <v>590</v>
      </c>
      <c r="C8" s="87">
        <v>943792.4</v>
      </c>
      <c r="D8" s="471">
        <f>C8</f>
        <v>943792.4</v>
      </c>
      <c r="E8" s="478"/>
      <c r="F8" s="490" t="str">
        <f t="shared" si="2"/>
        <v>----</v>
      </c>
      <c r="G8" s="478">
        <v>940090.26</v>
      </c>
      <c r="H8" s="490">
        <f t="shared" si="0"/>
        <v>-3702.140000000014</v>
      </c>
      <c r="I8" s="491" t="s">
        <v>704</v>
      </c>
      <c r="J8" s="115" t="str">
        <f t="shared" si="1"/>
        <v>----</v>
      </c>
    </row>
    <row r="9" spans="1:11">
      <c r="A9" s="102">
        <v>44915</v>
      </c>
      <c r="B9" s="258" t="s">
        <v>607</v>
      </c>
      <c r="C9" s="87">
        <v>530035</v>
      </c>
      <c r="D9" s="471">
        <f>106007+424028</f>
        <v>530035</v>
      </c>
      <c r="E9" s="478"/>
      <c r="F9" s="490" t="str">
        <f t="shared" si="2"/>
        <v>----</v>
      </c>
      <c r="G9" s="478"/>
      <c r="H9" s="490" t="str">
        <f t="shared" si="0"/>
        <v>----</v>
      </c>
      <c r="I9" s="491"/>
      <c r="J9" s="115" t="str">
        <f t="shared" si="1"/>
        <v>----</v>
      </c>
    </row>
    <row r="10" spans="1:11">
      <c r="A10" s="102"/>
      <c r="B10" s="258"/>
      <c r="C10" s="87"/>
      <c r="D10" s="471"/>
      <c r="E10" s="478"/>
      <c r="F10" s="490" t="str">
        <f t="shared" si="2"/>
        <v>----</v>
      </c>
      <c r="G10" s="478"/>
      <c r="H10" s="490" t="str">
        <f t="shared" si="0"/>
        <v>----</v>
      </c>
      <c r="I10" s="491"/>
      <c r="J10" s="115" t="str">
        <f t="shared" si="1"/>
        <v>----</v>
      </c>
    </row>
    <row r="11" spans="1:11">
      <c r="A11" s="102"/>
      <c r="B11" s="258"/>
      <c r="C11" s="87"/>
      <c r="D11" s="471"/>
      <c r="E11" s="478"/>
      <c r="F11" s="490" t="str">
        <f t="shared" si="2"/>
        <v>----</v>
      </c>
      <c r="G11" s="478"/>
      <c r="H11" s="490" t="str">
        <f t="shared" si="0"/>
        <v>----</v>
      </c>
      <c r="I11" s="491"/>
      <c r="J11" s="115" t="str">
        <f t="shared" si="1"/>
        <v>----</v>
      </c>
    </row>
    <row r="12" spans="1:11">
      <c r="A12" s="102"/>
      <c r="B12" s="258"/>
      <c r="C12" s="87"/>
      <c r="D12" s="471"/>
      <c r="E12" s="478"/>
      <c r="F12" s="490" t="str">
        <f t="shared" si="2"/>
        <v>----</v>
      </c>
      <c r="G12" s="478"/>
      <c r="H12" s="490" t="str">
        <f t="shared" si="0"/>
        <v>----</v>
      </c>
      <c r="I12" s="491"/>
      <c r="J12" s="115" t="str">
        <f t="shared" si="1"/>
        <v>----</v>
      </c>
    </row>
    <row r="13" spans="1:11">
      <c r="A13" s="102"/>
      <c r="B13" s="258"/>
      <c r="C13" s="87"/>
      <c r="D13" s="471"/>
      <c r="E13" s="478"/>
      <c r="F13" s="490" t="str">
        <f t="shared" si="2"/>
        <v>----</v>
      </c>
      <c r="G13" s="478"/>
      <c r="H13" s="490" t="str">
        <f t="shared" si="0"/>
        <v>----</v>
      </c>
      <c r="I13" s="491"/>
      <c r="J13" s="115" t="str">
        <f t="shared" si="1"/>
        <v>----</v>
      </c>
    </row>
    <row r="14" spans="1:11">
      <c r="A14" s="102"/>
      <c r="B14" s="258"/>
      <c r="C14" s="87"/>
      <c r="D14" s="471"/>
      <c r="E14" s="478"/>
      <c r="F14" s="490" t="str">
        <f t="shared" si="2"/>
        <v>----</v>
      </c>
      <c r="G14" s="478"/>
      <c r="H14" s="490" t="str">
        <f t="shared" si="0"/>
        <v>----</v>
      </c>
      <c r="I14" s="491"/>
      <c r="J14" s="115" t="str">
        <f t="shared" si="1"/>
        <v>----</v>
      </c>
    </row>
    <row r="15" spans="1:11">
      <c r="A15" s="102"/>
      <c r="B15" s="258"/>
      <c r="C15" s="87"/>
      <c r="D15" s="471"/>
      <c r="E15" s="478"/>
      <c r="F15" s="490" t="str">
        <f t="shared" si="2"/>
        <v>----</v>
      </c>
      <c r="G15" s="478"/>
      <c r="H15" s="490" t="str">
        <f t="shared" si="0"/>
        <v>----</v>
      </c>
      <c r="I15" s="491"/>
      <c r="J15" s="115" t="str">
        <f t="shared" si="1"/>
        <v>----</v>
      </c>
    </row>
    <row r="16" spans="1:11">
      <c r="A16" s="102"/>
      <c r="B16" s="258"/>
      <c r="C16" s="87"/>
      <c r="D16" s="471"/>
      <c r="E16" s="478"/>
      <c r="F16" s="490" t="str">
        <f t="shared" si="2"/>
        <v>----</v>
      </c>
      <c r="G16" s="478"/>
      <c r="H16" s="490" t="str">
        <f t="shared" si="0"/>
        <v>----</v>
      </c>
      <c r="I16" s="491"/>
      <c r="J16" s="115" t="str">
        <f t="shared" si="1"/>
        <v>----</v>
      </c>
    </row>
    <row r="17" spans="1:10">
      <c r="A17" s="102"/>
      <c r="B17" s="258"/>
      <c r="C17" s="87"/>
      <c r="D17" s="471"/>
      <c r="E17" s="478"/>
      <c r="F17" s="490" t="str">
        <f t="shared" si="2"/>
        <v>----</v>
      </c>
      <c r="G17" s="478"/>
      <c r="H17" s="490" t="str">
        <f t="shared" si="0"/>
        <v>----</v>
      </c>
      <c r="I17" s="491"/>
      <c r="J17" s="115" t="str">
        <f t="shared" si="1"/>
        <v>----</v>
      </c>
    </row>
    <row r="18" spans="1:10">
      <c r="A18" s="102"/>
      <c r="B18" s="258"/>
      <c r="C18" s="87"/>
      <c r="D18" s="471"/>
      <c r="E18" s="478"/>
      <c r="F18" s="490" t="str">
        <f t="shared" si="2"/>
        <v>----</v>
      </c>
      <c r="G18" s="478"/>
      <c r="H18" s="490" t="str">
        <f t="shared" si="0"/>
        <v>----</v>
      </c>
      <c r="I18" s="491"/>
      <c r="J18" s="115" t="str">
        <f t="shared" si="1"/>
        <v>----</v>
      </c>
    </row>
    <row r="19" spans="1:10">
      <c r="A19" s="102"/>
      <c r="B19" s="258"/>
      <c r="C19" s="87"/>
      <c r="D19" s="471"/>
      <c r="E19" s="478"/>
      <c r="F19" s="490" t="str">
        <f t="shared" si="2"/>
        <v>----</v>
      </c>
      <c r="G19" s="478"/>
      <c r="H19" s="490" t="str">
        <f t="shared" si="0"/>
        <v>----</v>
      </c>
      <c r="I19" s="491"/>
      <c r="J19" s="115" t="str">
        <f t="shared" si="1"/>
        <v>----</v>
      </c>
    </row>
    <row r="20" spans="1:10">
      <c r="A20" s="102"/>
      <c r="B20" s="258"/>
      <c r="C20" s="87"/>
      <c r="D20" s="471"/>
      <c r="E20" s="478"/>
      <c r="F20" s="490" t="str">
        <f t="shared" si="2"/>
        <v>----</v>
      </c>
      <c r="G20" s="478"/>
      <c r="H20" s="490" t="str">
        <f t="shared" si="0"/>
        <v>----</v>
      </c>
      <c r="I20" s="491"/>
      <c r="J20" s="115" t="str">
        <f t="shared" si="1"/>
        <v>----</v>
      </c>
    </row>
    <row r="21" spans="1:10">
      <c r="A21" s="102"/>
      <c r="B21" s="258"/>
      <c r="C21" s="87"/>
      <c r="D21" s="471"/>
      <c r="E21" s="478"/>
      <c r="F21" s="490" t="str">
        <f t="shared" si="2"/>
        <v>----</v>
      </c>
      <c r="G21" s="478"/>
      <c r="H21" s="490" t="str">
        <f t="shared" si="0"/>
        <v>----</v>
      </c>
      <c r="I21" s="491"/>
      <c r="J21" s="115" t="str">
        <f t="shared" si="1"/>
        <v>----</v>
      </c>
    </row>
    <row r="22" spans="1:10">
      <c r="A22" s="102"/>
      <c r="B22" s="258"/>
      <c r="C22" s="87"/>
      <c r="D22" s="471"/>
      <c r="E22" s="478"/>
      <c r="F22" s="490" t="str">
        <f t="shared" si="2"/>
        <v>----</v>
      </c>
      <c r="G22" s="478"/>
      <c r="H22" s="490" t="str">
        <f t="shared" si="0"/>
        <v>----</v>
      </c>
      <c r="I22" s="491"/>
      <c r="J22" s="115" t="str">
        <f t="shared" si="1"/>
        <v>----</v>
      </c>
    </row>
    <row r="23" spans="1:10">
      <c r="A23" s="102"/>
      <c r="B23" s="258"/>
      <c r="C23" s="87"/>
      <c r="D23" s="471"/>
      <c r="E23" s="478"/>
      <c r="F23" s="490" t="str">
        <f t="shared" si="2"/>
        <v>----</v>
      </c>
      <c r="G23" s="478"/>
      <c r="H23" s="490" t="str">
        <f t="shared" si="0"/>
        <v>----</v>
      </c>
      <c r="I23" s="491"/>
      <c r="J23" s="115" t="str">
        <f t="shared" si="1"/>
        <v>----</v>
      </c>
    </row>
    <row r="24" spans="1:10">
      <c r="A24" s="102"/>
      <c r="B24" s="258"/>
      <c r="C24" s="87"/>
      <c r="D24" s="471"/>
      <c r="E24" s="478"/>
      <c r="F24" s="490" t="str">
        <f t="shared" si="2"/>
        <v>----</v>
      </c>
      <c r="G24" s="478"/>
      <c r="H24" s="490" t="str">
        <f t="shared" si="0"/>
        <v>----</v>
      </c>
      <c r="I24" s="491"/>
      <c r="J24" s="115" t="str">
        <f t="shared" si="1"/>
        <v>----</v>
      </c>
    </row>
    <row r="25" spans="1:10">
      <c r="A25" s="116"/>
      <c r="B25" s="261"/>
      <c r="C25" s="118"/>
      <c r="D25" s="472"/>
      <c r="E25" s="479"/>
      <c r="F25" s="492" t="str">
        <f t="shared" si="2"/>
        <v>----</v>
      </c>
      <c r="G25" s="479"/>
      <c r="H25" s="492" t="str">
        <f t="shared" si="0"/>
        <v>----</v>
      </c>
      <c r="I25" s="493"/>
      <c r="J25" s="119" t="str">
        <f t="shared" si="1"/>
        <v>----</v>
      </c>
    </row>
    <row r="26" spans="1:10" ht="15.75" thickBot="1">
      <c r="A26" s="74"/>
      <c r="B26" s="75"/>
      <c r="C26" s="76"/>
      <c r="D26" s="435"/>
      <c r="E26" s="480"/>
      <c r="F26" s="481" t="str">
        <f t="shared" si="2"/>
        <v>----</v>
      </c>
      <c r="G26" s="480"/>
      <c r="H26" s="481" t="str">
        <f t="shared" si="0"/>
        <v>----</v>
      </c>
      <c r="I26" s="486"/>
      <c r="J26" s="77" t="str">
        <f t="shared" si="1"/>
        <v>----</v>
      </c>
    </row>
    <row r="27" spans="1:10" ht="15.75" thickBot="1">
      <c r="A27" s="27"/>
      <c r="B27" s="27"/>
      <c r="C27" s="28"/>
      <c r="D27" s="28"/>
      <c r="E27" s="444"/>
      <c r="F27" s="446">
        <f>SUM(F4:F26)</f>
        <v>5134.4000000000233</v>
      </c>
      <c r="G27" s="444"/>
      <c r="H27" s="446">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7" bestFit="1" customWidth="1"/>
    <col min="6" max="6" width="10.42578125" style="437" bestFit="1" customWidth="1"/>
    <col min="7" max="7" width="10.7109375" style="437" bestFit="1" customWidth="1"/>
    <col min="8" max="8" width="10.42578125" style="437" bestFit="1" customWidth="1"/>
    <col min="9" max="9" width="10.7109375" bestFit="1" customWidth="1"/>
    <col min="10" max="10" width="10.42578125" bestFit="1" customWidth="1"/>
  </cols>
  <sheetData>
    <row r="1" spans="1:10" ht="15.75" thickBot="1">
      <c r="A1" s="932" t="s">
        <v>256</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44180</v>
      </c>
      <c r="B4" s="71" t="s">
        <v>361</v>
      </c>
      <c r="C4" s="72">
        <v>408767.3</v>
      </c>
      <c r="D4" s="434">
        <f>C4</f>
        <v>408767.3</v>
      </c>
      <c r="E4" s="474">
        <v>400462.08000000002</v>
      </c>
      <c r="F4" s="475">
        <f>IF(ISBLANK(E4),"----",E4-$D4)</f>
        <v>-8305.2199999999721</v>
      </c>
      <c r="G4" s="474" t="s">
        <v>704</v>
      </c>
      <c r="H4" s="475" t="str">
        <f t="shared" ref="H4:H17" si="0">IF(OR(G4="Complete",ISBLANK(G4)),"----",G4-$D4)</f>
        <v>----</v>
      </c>
      <c r="I4" s="484" t="s">
        <v>704</v>
      </c>
      <c r="J4" s="73" t="str">
        <f t="shared" ref="J4:J17" si="1">IF(OR(I4="Complete",ISBLANK(I4)),"----",I4-$D4)</f>
        <v>----</v>
      </c>
    </row>
    <row r="5" spans="1:10">
      <c r="A5" s="88">
        <v>44180</v>
      </c>
      <c r="B5" s="101" t="s">
        <v>362</v>
      </c>
      <c r="C5" s="82">
        <v>569656.53</v>
      </c>
      <c r="D5" s="436">
        <f>C5</f>
        <v>569656.53</v>
      </c>
      <c r="E5" s="476">
        <v>565439.42000000004</v>
      </c>
      <c r="F5" s="477">
        <f t="shared" ref="F5:F17" si="2">IF(ISBLANK(E5),"----",E5-$D5)</f>
        <v>-4217.109999999986</v>
      </c>
      <c r="G5" s="476" t="s">
        <v>704</v>
      </c>
      <c r="H5" s="477" t="str">
        <f t="shared" si="0"/>
        <v>----</v>
      </c>
      <c r="I5" s="489" t="s">
        <v>704</v>
      </c>
      <c r="J5" s="83" t="str">
        <f t="shared" si="1"/>
        <v>----</v>
      </c>
    </row>
    <row r="6" spans="1:10">
      <c r="A6" s="91">
        <v>45552</v>
      </c>
      <c r="B6" s="415" t="s">
        <v>776</v>
      </c>
      <c r="C6" s="378">
        <v>424348.5</v>
      </c>
      <c r="D6" s="599">
        <f>C6</f>
        <v>424348.5</v>
      </c>
      <c r="E6" s="487"/>
      <c r="F6" s="488" t="str">
        <f t="shared" si="2"/>
        <v>----</v>
      </c>
      <c r="G6" s="487"/>
      <c r="H6" s="488" t="str">
        <f t="shared" si="0"/>
        <v>----</v>
      </c>
      <c r="I6" s="485"/>
      <c r="J6" s="85" t="str">
        <f t="shared" si="1"/>
        <v>----</v>
      </c>
    </row>
    <row r="7" spans="1:10">
      <c r="A7" s="88" t="s">
        <v>824</v>
      </c>
      <c r="B7" s="714" t="s">
        <v>823</v>
      </c>
      <c r="C7" s="377">
        <v>102951</v>
      </c>
      <c r="D7" s="573">
        <f>C7</f>
        <v>102951</v>
      </c>
      <c r="E7" s="476"/>
      <c r="F7" s="477" t="str">
        <f t="shared" si="2"/>
        <v>----</v>
      </c>
      <c r="G7" s="476"/>
      <c r="H7" s="477" t="str">
        <f t="shared" si="0"/>
        <v>----</v>
      </c>
      <c r="I7" s="489"/>
      <c r="J7" s="83" t="str">
        <f t="shared" si="1"/>
        <v>----</v>
      </c>
    </row>
    <row r="8" spans="1:10">
      <c r="A8" s="91"/>
      <c r="B8" s="92"/>
      <c r="C8" s="84"/>
      <c r="D8" s="482"/>
      <c r="E8" s="487"/>
      <c r="F8" s="488" t="str">
        <f t="shared" si="2"/>
        <v>----</v>
      </c>
      <c r="G8" s="487"/>
      <c r="H8" s="488" t="str">
        <f t="shared" si="0"/>
        <v>----</v>
      </c>
      <c r="I8" s="485"/>
      <c r="J8" s="85" t="str">
        <f t="shared" si="1"/>
        <v>----</v>
      </c>
    </row>
    <row r="9" spans="1:10">
      <c r="A9" s="88"/>
      <c r="B9" s="101"/>
      <c r="C9" s="82"/>
      <c r="D9" s="436"/>
      <c r="E9" s="476"/>
      <c r="F9" s="477" t="str">
        <f t="shared" si="2"/>
        <v>----</v>
      </c>
      <c r="G9" s="476"/>
      <c r="H9" s="477" t="str">
        <f t="shared" si="0"/>
        <v>----</v>
      </c>
      <c r="I9" s="489"/>
      <c r="J9" s="83" t="str">
        <f t="shared" si="1"/>
        <v>----</v>
      </c>
    </row>
    <row r="10" spans="1:10">
      <c r="A10" s="91"/>
      <c r="B10" s="92"/>
      <c r="C10" s="84"/>
      <c r="D10" s="482"/>
      <c r="E10" s="487"/>
      <c r="F10" s="488" t="str">
        <f t="shared" si="2"/>
        <v>----</v>
      </c>
      <c r="G10" s="487"/>
      <c r="H10" s="488" t="str">
        <f t="shared" si="0"/>
        <v>----</v>
      </c>
      <c r="I10" s="485"/>
      <c r="J10" s="85" t="str">
        <f t="shared" si="1"/>
        <v>----</v>
      </c>
    </row>
    <row r="11" spans="1:10">
      <c r="A11" s="88"/>
      <c r="B11" s="101"/>
      <c r="C11" s="82"/>
      <c r="D11" s="436"/>
      <c r="E11" s="476"/>
      <c r="F11" s="477" t="str">
        <f t="shared" si="2"/>
        <v>----</v>
      </c>
      <c r="G11" s="476"/>
      <c r="H11" s="477" t="str">
        <f t="shared" si="0"/>
        <v>----</v>
      </c>
      <c r="I11" s="489"/>
      <c r="J11" s="83" t="str">
        <f t="shared" si="1"/>
        <v>----</v>
      </c>
    </row>
    <row r="12" spans="1:10">
      <c r="A12" s="91"/>
      <c r="B12" s="92"/>
      <c r="C12" s="84"/>
      <c r="D12" s="482"/>
      <c r="E12" s="487"/>
      <c r="F12" s="488" t="str">
        <f t="shared" si="2"/>
        <v>----</v>
      </c>
      <c r="G12" s="487"/>
      <c r="H12" s="488" t="str">
        <f t="shared" si="0"/>
        <v>----</v>
      </c>
      <c r="I12" s="485"/>
      <c r="J12" s="85" t="str">
        <f t="shared" si="1"/>
        <v>----</v>
      </c>
    </row>
    <row r="13" spans="1:10">
      <c r="A13" s="88"/>
      <c r="B13" s="101"/>
      <c r="C13" s="82"/>
      <c r="D13" s="436"/>
      <c r="E13" s="476"/>
      <c r="F13" s="477" t="str">
        <f t="shared" si="2"/>
        <v>----</v>
      </c>
      <c r="G13" s="476"/>
      <c r="H13" s="477" t="str">
        <f t="shared" si="0"/>
        <v>----</v>
      </c>
      <c r="I13" s="489"/>
      <c r="J13" s="83" t="str">
        <f t="shared" si="1"/>
        <v>----</v>
      </c>
    </row>
    <row r="14" spans="1:10">
      <c r="A14" s="91"/>
      <c r="B14" s="92"/>
      <c r="C14" s="84"/>
      <c r="D14" s="482"/>
      <c r="E14" s="487"/>
      <c r="F14" s="488" t="str">
        <f t="shared" si="2"/>
        <v>----</v>
      </c>
      <c r="G14" s="487"/>
      <c r="H14" s="488" t="str">
        <f t="shared" si="0"/>
        <v>----</v>
      </c>
      <c r="I14" s="485"/>
      <c r="J14" s="85" t="str">
        <f t="shared" si="1"/>
        <v>----</v>
      </c>
    </row>
    <row r="15" spans="1:10">
      <c r="A15" s="88"/>
      <c r="B15" s="101"/>
      <c r="C15" s="82"/>
      <c r="D15" s="436"/>
      <c r="E15" s="476"/>
      <c r="F15" s="477" t="str">
        <f t="shared" si="2"/>
        <v>----</v>
      </c>
      <c r="G15" s="476"/>
      <c r="H15" s="477" t="str">
        <f t="shared" si="0"/>
        <v>----</v>
      </c>
      <c r="I15" s="489"/>
      <c r="J15" s="83" t="str">
        <f t="shared" si="1"/>
        <v>----</v>
      </c>
    </row>
    <row r="16" spans="1:10">
      <c r="A16" s="91"/>
      <c r="B16" s="92"/>
      <c r="C16" s="84"/>
      <c r="D16" s="482"/>
      <c r="E16" s="487"/>
      <c r="F16" s="488" t="str">
        <f t="shared" si="2"/>
        <v>----</v>
      </c>
      <c r="G16" s="487"/>
      <c r="H16" s="488" t="str">
        <f t="shared" si="0"/>
        <v>----</v>
      </c>
      <c r="I16" s="485"/>
      <c r="J16" s="85" t="str">
        <f t="shared" si="1"/>
        <v>----</v>
      </c>
    </row>
    <row r="17" spans="1:10" ht="15.75" thickBot="1">
      <c r="A17" s="74"/>
      <c r="B17" s="75"/>
      <c r="C17" s="76"/>
      <c r="D17" s="435"/>
      <c r="E17" s="480"/>
      <c r="F17" s="481" t="str">
        <f t="shared" si="2"/>
        <v>----</v>
      </c>
      <c r="G17" s="480"/>
      <c r="H17" s="481" t="str">
        <f t="shared" si="0"/>
        <v>----</v>
      </c>
      <c r="I17" s="486"/>
      <c r="J17" s="77" t="str">
        <f t="shared" si="1"/>
        <v>----</v>
      </c>
    </row>
    <row r="18" spans="1:10" ht="15.75" thickBot="1">
      <c r="A18" s="27"/>
      <c r="B18" s="27"/>
      <c r="C18" s="28"/>
      <c r="D18" s="28"/>
      <c r="E18" s="444"/>
      <c r="F18" s="446">
        <f>SUM(F4:F17)</f>
        <v>-12522.329999999958</v>
      </c>
      <c r="G18" s="444"/>
      <c r="H18" s="446">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7" bestFit="1" customWidth="1"/>
    <col min="6" max="6" width="12.85546875" style="437" customWidth="1"/>
    <col min="7" max="7" width="12" style="437" bestFit="1" customWidth="1"/>
    <col min="8" max="8" width="12.85546875" style="437" customWidth="1"/>
    <col min="9" max="9" width="10.7109375" bestFit="1" customWidth="1"/>
    <col min="10" max="10" width="12.85546875" customWidth="1"/>
  </cols>
  <sheetData>
    <row r="1" spans="1:10" ht="15.75" thickBot="1">
      <c r="A1" s="932" t="s">
        <v>153</v>
      </c>
      <c r="B1" s="933"/>
      <c r="C1" s="933"/>
      <c r="D1" s="933"/>
      <c r="E1" s="933"/>
      <c r="F1" s="933"/>
      <c r="G1" s="933"/>
      <c r="H1" s="933"/>
      <c r="I1" s="933"/>
      <c r="J1" s="934"/>
    </row>
    <row r="2" spans="1:10" s="437" customFormat="1">
      <c r="A2" s="939" t="s">
        <v>110</v>
      </c>
      <c r="B2" s="941" t="s">
        <v>111</v>
      </c>
      <c r="C2" s="941" t="s">
        <v>112</v>
      </c>
      <c r="D2" s="943" t="s">
        <v>247</v>
      </c>
      <c r="E2" s="937" t="s">
        <v>702</v>
      </c>
      <c r="F2" s="938"/>
      <c r="G2" s="937" t="s">
        <v>703</v>
      </c>
      <c r="H2" s="938"/>
      <c r="I2" s="912" t="s">
        <v>801</v>
      </c>
      <c r="J2" s="913"/>
    </row>
    <row r="3" spans="1:10" ht="46.5" thickBot="1">
      <c r="A3" s="940"/>
      <c r="B3" s="942"/>
      <c r="C3" s="942"/>
      <c r="D3" s="944"/>
      <c r="E3" s="465" t="s">
        <v>121</v>
      </c>
      <c r="F3" s="473" t="s">
        <v>705</v>
      </c>
      <c r="G3" s="465" t="s">
        <v>121</v>
      </c>
      <c r="H3" s="473" t="s">
        <v>705</v>
      </c>
      <c r="I3" s="483" t="s">
        <v>121</v>
      </c>
      <c r="J3" s="25" t="s">
        <v>705</v>
      </c>
    </row>
    <row r="4" spans="1:10">
      <c r="A4" s="70">
        <v>43816</v>
      </c>
      <c r="B4" s="71" t="s">
        <v>168</v>
      </c>
      <c r="C4" s="72">
        <v>663331.87</v>
      </c>
      <c r="D4" s="434">
        <f>C4</f>
        <v>663331.87</v>
      </c>
      <c r="E4" s="474">
        <v>651120.44999999995</v>
      </c>
      <c r="F4" s="475">
        <f>IF(ISBLANK(E4),"----",E4-$D4)</f>
        <v>-12211.420000000042</v>
      </c>
      <c r="G4" s="474" t="s">
        <v>704</v>
      </c>
      <c r="H4" s="475" t="str">
        <f t="shared" ref="H4:H21" si="0">IF(OR(G4="Complete",ISBLANK(G4)),"----",G4-$D4)</f>
        <v>----</v>
      </c>
      <c r="I4" s="484" t="s">
        <v>704</v>
      </c>
      <c r="J4" s="73" t="str">
        <f t="shared" ref="J4:J21" si="1">IF(OR(I4="Complete",ISBLANK(I4)),"----",I4-$D4)</f>
        <v>----</v>
      </c>
    </row>
    <row r="5" spans="1:10">
      <c r="A5" s="91">
        <v>43816</v>
      </c>
      <c r="B5" s="92" t="s">
        <v>169</v>
      </c>
      <c r="C5" s="84">
        <v>700659.04</v>
      </c>
      <c r="D5" s="482">
        <f>C5</f>
        <v>700659.04</v>
      </c>
      <c r="E5" s="487">
        <v>681332.98999999987</v>
      </c>
      <c r="F5" s="488">
        <f t="shared" ref="F5:F21" si="2">IF(ISBLANK(E5),"----",E5-$D5)</f>
        <v>-19326.050000000163</v>
      </c>
      <c r="G5" s="487" t="s">
        <v>704</v>
      </c>
      <c r="H5" s="488" t="str">
        <f t="shared" si="0"/>
        <v>----</v>
      </c>
      <c r="I5" s="485" t="s">
        <v>704</v>
      </c>
      <c r="J5" s="85" t="str">
        <f t="shared" si="1"/>
        <v>----</v>
      </c>
    </row>
    <row r="6" spans="1:10">
      <c r="A6" s="102">
        <v>44698</v>
      </c>
      <c r="B6" s="103" t="s">
        <v>520</v>
      </c>
      <c r="C6" s="87">
        <v>1060952.3700000001</v>
      </c>
      <c r="D6" s="471">
        <f>C6</f>
        <v>1060952.3700000001</v>
      </c>
      <c r="E6" s="478"/>
      <c r="F6" s="490" t="str">
        <f t="shared" si="2"/>
        <v>----</v>
      </c>
      <c r="G6" s="478">
        <v>1054336.72</v>
      </c>
      <c r="H6" s="490">
        <f t="shared" si="0"/>
        <v>-6615.6500000001397</v>
      </c>
      <c r="I6" s="802" t="s">
        <v>704</v>
      </c>
      <c r="J6" s="115" t="str">
        <f t="shared" si="1"/>
        <v>----</v>
      </c>
    </row>
    <row r="7" spans="1:10">
      <c r="A7" s="102">
        <v>45679</v>
      </c>
      <c r="B7" s="738" t="s">
        <v>825</v>
      </c>
      <c r="C7" s="608">
        <v>1148728.3500000001</v>
      </c>
      <c r="D7" s="609">
        <f>C7</f>
        <v>1148728.3500000001</v>
      </c>
      <c r="E7" s="478"/>
      <c r="F7" s="490" t="str">
        <f t="shared" si="2"/>
        <v>----</v>
      </c>
      <c r="G7" s="478"/>
      <c r="H7" s="490" t="str">
        <f t="shared" si="0"/>
        <v>----</v>
      </c>
      <c r="I7" s="491"/>
      <c r="J7" s="115" t="str">
        <f t="shared" si="1"/>
        <v>----</v>
      </c>
    </row>
    <row r="8" spans="1:10">
      <c r="A8" s="102">
        <v>45679</v>
      </c>
      <c r="B8" s="738" t="s">
        <v>826</v>
      </c>
      <c r="C8" s="608">
        <v>1106107.6000000001</v>
      </c>
      <c r="D8" s="609">
        <f>C8</f>
        <v>1106107.6000000001</v>
      </c>
      <c r="E8" s="478"/>
      <c r="F8" s="490" t="str">
        <f t="shared" si="2"/>
        <v>----</v>
      </c>
      <c r="G8" s="478"/>
      <c r="H8" s="490" t="str">
        <f t="shared" si="0"/>
        <v>----</v>
      </c>
      <c r="I8" s="491"/>
      <c r="J8" s="115" t="str">
        <f t="shared" si="1"/>
        <v>----</v>
      </c>
    </row>
    <row r="9" spans="1:10">
      <c r="A9" s="102"/>
      <c r="B9" s="103"/>
      <c r="C9" s="87"/>
      <c r="D9" s="471"/>
      <c r="E9" s="478"/>
      <c r="F9" s="490" t="str">
        <f t="shared" si="2"/>
        <v>----</v>
      </c>
      <c r="G9" s="478"/>
      <c r="H9" s="490" t="str">
        <f t="shared" si="0"/>
        <v>----</v>
      </c>
      <c r="I9" s="491"/>
      <c r="J9" s="115" t="str">
        <f t="shared" si="1"/>
        <v>----</v>
      </c>
    </row>
    <row r="10" spans="1:10">
      <c r="A10" s="102"/>
      <c r="B10" s="103"/>
      <c r="C10" s="87"/>
      <c r="D10" s="471"/>
      <c r="E10" s="478"/>
      <c r="F10" s="490" t="str">
        <f t="shared" si="2"/>
        <v>----</v>
      </c>
      <c r="G10" s="478"/>
      <c r="H10" s="490" t="str">
        <f t="shared" si="0"/>
        <v>----</v>
      </c>
      <c r="I10" s="491"/>
      <c r="J10" s="115" t="str">
        <f t="shared" si="1"/>
        <v>----</v>
      </c>
    </row>
    <row r="11" spans="1:10">
      <c r="A11" s="102"/>
      <c r="B11" s="103"/>
      <c r="C11" s="87"/>
      <c r="D11" s="471"/>
      <c r="E11" s="478"/>
      <c r="F11" s="490" t="str">
        <f t="shared" si="2"/>
        <v>----</v>
      </c>
      <c r="G11" s="478"/>
      <c r="H11" s="490" t="str">
        <f t="shared" si="0"/>
        <v>----</v>
      </c>
      <c r="I11" s="491"/>
      <c r="J11" s="115" t="str">
        <f t="shared" si="1"/>
        <v>----</v>
      </c>
    </row>
    <row r="12" spans="1:10">
      <c r="A12" s="102"/>
      <c r="B12" s="103"/>
      <c r="C12" s="87"/>
      <c r="D12" s="471"/>
      <c r="E12" s="478"/>
      <c r="F12" s="490" t="str">
        <f t="shared" si="2"/>
        <v>----</v>
      </c>
      <c r="G12" s="478"/>
      <c r="H12" s="490" t="str">
        <f t="shared" si="0"/>
        <v>----</v>
      </c>
      <c r="I12" s="491"/>
      <c r="J12" s="115" t="str">
        <f t="shared" si="1"/>
        <v>----</v>
      </c>
    </row>
    <row r="13" spans="1:10">
      <c r="A13" s="102"/>
      <c r="B13" s="103"/>
      <c r="C13" s="87"/>
      <c r="D13" s="471"/>
      <c r="E13" s="478"/>
      <c r="F13" s="490" t="str">
        <f t="shared" si="2"/>
        <v>----</v>
      </c>
      <c r="G13" s="478"/>
      <c r="H13" s="490" t="str">
        <f t="shared" si="0"/>
        <v>----</v>
      </c>
      <c r="I13" s="491"/>
      <c r="J13" s="115" t="str">
        <f t="shared" si="1"/>
        <v>----</v>
      </c>
    </row>
    <row r="14" spans="1:10">
      <c r="A14" s="102"/>
      <c r="B14" s="103"/>
      <c r="C14" s="87"/>
      <c r="D14" s="471"/>
      <c r="E14" s="478"/>
      <c r="F14" s="490" t="str">
        <f t="shared" si="2"/>
        <v>----</v>
      </c>
      <c r="G14" s="478"/>
      <c r="H14" s="490" t="str">
        <f t="shared" si="0"/>
        <v>----</v>
      </c>
      <c r="I14" s="491"/>
      <c r="J14" s="115" t="str">
        <f t="shared" si="1"/>
        <v>----</v>
      </c>
    </row>
    <row r="15" spans="1:10">
      <c r="A15" s="102"/>
      <c r="B15" s="103"/>
      <c r="C15" s="87"/>
      <c r="D15" s="471"/>
      <c r="E15" s="478"/>
      <c r="F15" s="490" t="str">
        <f t="shared" si="2"/>
        <v>----</v>
      </c>
      <c r="G15" s="478"/>
      <c r="H15" s="490" t="str">
        <f t="shared" si="0"/>
        <v>----</v>
      </c>
      <c r="I15" s="491"/>
      <c r="J15" s="115" t="str">
        <f t="shared" si="1"/>
        <v>----</v>
      </c>
    </row>
    <row r="16" spans="1:10">
      <c r="A16" s="102"/>
      <c r="B16" s="103"/>
      <c r="C16" s="87"/>
      <c r="D16" s="471"/>
      <c r="E16" s="478"/>
      <c r="F16" s="490" t="str">
        <f t="shared" si="2"/>
        <v>----</v>
      </c>
      <c r="G16" s="478"/>
      <c r="H16" s="490" t="str">
        <f t="shared" si="0"/>
        <v>----</v>
      </c>
      <c r="I16" s="491"/>
      <c r="J16" s="115" t="str">
        <f t="shared" si="1"/>
        <v>----</v>
      </c>
    </row>
    <row r="17" spans="1:10">
      <c r="A17" s="102"/>
      <c r="B17" s="103"/>
      <c r="C17" s="87"/>
      <c r="D17" s="471"/>
      <c r="E17" s="478"/>
      <c r="F17" s="490" t="str">
        <f t="shared" si="2"/>
        <v>----</v>
      </c>
      <c r="G17" s="478"/>
      <c r="H17" s="490" t="str">
        <f t="shared" si="0"/>
        <v>----</v>
      </c>
      <c r="I17" s="491"/>
      <c r="J17" s="115" t="str">
        <f t="shared" si="1"/>
        <v>----</v>
      </c>
    </row>
    <row r="18" spans="1:10">
      <c r="A18" s="102"/>
      <c r="B18" s="103"/>
      <c r="C18" s="87"/>
      <c r="D18" s="471"/>
      <c r="E18" s="478"/>
      <c r="F18" s="490" t="str">
        <f t="shared" si="2"/>
        <v>----</v>
      </c>
      <c r="G18" s="478"/>
      <c r="H18" s="490" t="str">
        <f t="shared" si="0"/>
        <v>----</v>
      </c>
      <c r="I18" s="491"/>
      <c r="J18" s="115" t="str">
        <f t="shared" si="1"/>
        <v>----</v>
      </c>
    </row>
    <row r="19" spans="1:10">
      <c r="A19" s="102"/>
      <c r="B19" s="103"/>
      <c r="C19" s="87"/>
      <c r="D19" s="471"/>
      <c r="E19" s="478"/>
      <c r="F19" s="490" t="str">
        <f t="shared" si="2"/>
        <v>----</v>
      </c>
      <c r="G19" s="478"/>
      <c r="H19" s="490" t="str">
        <f t="shared" si="0"/>
        <v>----</v>
      </c>
      <c r="I19" s="491"/>
      <c r="J19" s="115" t="str">
        <f t="shared" si="1"/>
        <v>----</v>
      </c>
    </row>
    <row r="20" spans="1:10">
      <c r="A20" s="116"/>
      <c r="B20" s="117"/>
      <c r="C20" s="118"/>
      <c r="D20" s="472"/>
      <c r="E20" s="479"/>
      <c r="F20" s="492" t="str">
        <f t="shared" si="2"/>
        <v>----</v>
      </c>
      <c r="G20" s="479"/>
      <c r="H20" s="492" t="str">
        <f t="shared" si="0"/>
        <v>----</v>
      </c>
      <c r="I20" s="493"/>
      <c r="J20" s="119" t="str">
        <f t="shared" si="1"/>
        <v>----</v>
      </c>
    </row>
    <row r="21" spans="1:10" ht="15.75" thickBot="1">
      <c r="A21" s="74"/>
      <c r="B21" s="75"/>
      <c r="C21" s="76"/>
      <c r="D21" s="435"/>
      <c r="E21" s="480"/>
      <c r="F21" s="481" t="str">
        <f t="shared" si="2"/>
        <v>----</v>
      </c>
      <c r="G21" s="480"/>
      <c r="H21" s="481" t="str">
        <f t="shared" si="0"/>
        <v>----</v>
      </c>
      <c r="I21" s="486"/>
      <c r="J21" s="77" t="str">
        <f t="shared" si="1"/>
        <v>----</v>
      </c>
    </row>
    <row r="22" spans="1:10" ht="15.75" thickBot="1">
      <c r="A22" s="27"/>
      <c r="B22" s="27"/>
      <c r="C22" s="28"/>
      <c r="D22" s="28"/>
      <c r="E22" s="444"/>
      <c r="F22" s="446">
        <f>SUM(F4:F21)</f>
        <v>-31537.470000000205</v>
      </c>
      <c r="G22" s="444"/>
      <c r="H22" s="446">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G2" sqref="G2:H20"/>
    </sheetView>
  </sheetViews>
  <sheetFormatPr defaultRowHeight="15"/>
  <cols>
    <col min="2" max="2" width="22.5703125" bestFit="1" customWidth="1"/>
    <col min="3" max="3" width="12.7109375" customWidth="1"/>
    <col min="4" max="4" width="13" customWidth="1"/>
    <col min="5" max="8" width="9.140625" style="437"/>
  </cols>
  <sheetData>
    <row r="1" spans="1:11" ht="15.75" thickBot="1">
      <c r="A1" s="932" t="s">
        <v>257</v>
      </c>
      <c r="B1" s="933"/>
      <c r="C1" s="933"/>
      <c r="D1" s="933"/>
      <c r="E1" s="933"/>
      <c r="F1" s="933"/>
      <c r="G1" s="933"/>
      <c r="H1" s="933"/>
      <c r="I1" s="933"/>
      <c r="J1" s="934"/>
    </row>
    <row r="2" spans="1:11" s="437" customFormat="1">
      <c r="A2" s="939" t="s">
        <v>110</v>
      </c>
      <c r="B2" s="941" t="s">
        <v>111</v>
      </c>
      <c r="C2" s="941" t="s">
        <v>112</v>
      </c>
      <c r="D2" s="943" t="s">
        <v>247</v>
      </c>
      <c r="E2" s="937" t="s">
        <v>702</v>
      </c>
      <c r="F2" s="938"/>
      <c r="G2" s="937" t="s">
        <v>703</v>
      </c>
      <c r="H2" s="938"/>
      <c r="I2" s="912" t="s">
        <v>801</v>
      </c>
      <c r="J2" s="913"/>
    </row>
    <row r="3" spans="1:11" ht="69" thickBot="1">
      <c r="A3" s="940"/>
      <c r="B3" s="942"/>
      <c r="C3" s="942"/>
      <c r="D3" s="944"/>
      <c r="E3" s="465" t="s">
        <v>121</v>
      </c>
      <c r="F3" s="473" t="s">
        <v>705</v>
      </c>
      <c r="G3" s="465" t="s">
        <v>121</v>
      </c>
      <c r="H3" s="473" t="s">
        <v>705</v>
      </c>
      <c r="I3" s="483" t="s">
        <v>121</v>
      </c>
      <c r="J3" s="25" t="s">
        <v>705</v>
      </c>
    </row>
    <row r="4" spans="1:11">
      <c r="A4" s="70">
        <v>44124</v>
      </c>
      <c r="B4" s="71" t="s">
        <v>311</v>
      </c>
      <c r="C4" s="72">
        <v>1643438.76</v>
      </c>
      <c r="D4" s="434">
        <v>1261098.76</v>
      </c>
      <c r="E4" s="474"/>
      <c r="F4" s="475" t="str">
        <f>IF(ISBLANK(E4),"----",E4-$D4)</f>
        <v>----</v>
      </c>
      <c r="G4" s="474"/>
      <c r="H4" s="475" t="str">
        <f t="shared" ref="H4:H20" si="0">IF(OR(G4="Complete",ISBLANK(G4)),"----",G4-$D4)</f>
        <v>----</v>
      </c>
      <c r="I4" s="484"/>
      <c r="J4" s="73" t="str">
        <f t="shared" ref="J4:J20" si="1">IF(OR(I4="Complete",ISBLANK(I4)),"----",I4-$D4)</f>
        <v>----</v>
      </c>
    </row>
    <row r="5" spans="1:11">
      <c r="A5" s="204">
        <v>44243</v>
      </c>
      <c r="B5" s="101" t="s">
        <v>395</v>
      </c>
      <c r="C5" s="205">
        <v>850881.65</v>
      </c>
      <c r="D5" s="534">
        <v>0</v>
      </c>
      <c r="E5" s="522"/>
      <c r="F5" s="523" t="str">
        <f t="shared" ref="F5:F20" si="2">IF(ISBLANK(E5),"----",E5-$D5)</f>
        <v>----</v>
      </c>
      <c r="G5" s="522"/>
      <c r="H5" s="523" t="str">
        <f t="shared" si="0"/>
        <v>----</v>
      </c>
      <c r="I5" s="518"/>
      <c r="J5" s="206" t="str">
        <f t="shared" si="1"/>
        <v>----</v>
      </c>
      <c r="K5" s="218" t="s">
        <v>511</v>
      </c>
    </row>
    <row r="6" spans="1:11">
      <c r="A6" s="102"/>
      <c r="B6" s="103"/>
      <c r="C6" s="87"/>
      <c r="D6" s="471"/>
      <c r="E6" s="478"/>
      <c r="F6" s="477" t="str">
        <f t="shared" si="2"/>
        <v>----</v>
      </c>
      <c r="G6" s="478"/>
      <c r="H6" s="477" t="str">
        <f t="shared" si="0"/>
        <v>----</v>
      </c>
      <c r="I6" s="491"/>
      <c r="J6" s="83" t="str">
        <f t="shared" si="1"/>
        <v>----</v>
      </c>
    </row>
    <row r="7" spans="1:11">
      <c r="A7" s="102"/>
      <c r="B7" s="103"/>
      <c r="C7" s="87"/>
      <c r="D7" s="471"/>
      <c r="E7" s="478"/>
      <c r="F7" s="477" t="str">
        <f t="shared" si="2"/>
        <v>----</v>
      </c>
      <c r="G7" s="478"/>
      <c r="H7" s="477" t="str">
        <f t="shared" si="0"/>
        <v>----</v>
      </c>
      <c r="I7" s="491"/>
      <c r="J7" s="83" t="str">
        <f t="shared" si="1"/>
        <v>----</v>
      </c>
    </row>
    <row r="8" spans="1:11">
      <c r="A8" s="102"/>
      <c r="B8" s="103"/>
      <c r="C8" s="87"/>
      <c r="D8" s="471"/>
      <c r="E8" s="478"/>
      <c r="F8" s="477" t="str">
        <f t="shared" si="2"/>
        <v>----</v>
      </c>
      <c r="G8" s="478"/>
      <c r="H8" s="477" t="str">
        <f t="shared" si="0"/>
        <v>----</v>
      </c>
      <c r="I8" s="491"/>
      <c r="J8" s="83" t="str">
        <f t="shared" si="1"/>
        <v>----</v>
      </c>
    </row>
    <row r="9" spans="1:11">
      <c r="A9" s="102"/>
      <c r="B9" s="103"/>
      <c r="C9" s="87"/>
      <c r="D9" s="471"/>
      <c r="E9" s="478"/>
      <c r="F9" s="477" t="str">
        <f t="shared" si="2"/>
        <v>----</v>
      </c>
      <c r="G9" s="478"/>
      <c r="H9" s="477" t="str">
        <f t="shared" si="0"/>
        <v>----</v>
      </c>
      <c r="I9" s="491"/>
      <c r="J9" s="83" t="str">
        <f t="shared" si="1"/>
        <v>----</v>
      </c>
    </row>
    <row r="10" spans="1:11">
      <c r="A10" s="102"/>
      <c r="B10" s="103"/>
      <c r="C10" s="87"/>
      <c r="D10" s="471"/>
      <c r="E10" s="478"/>
      <c r="F10" s="477" t="str">
        <f t="shared" si="2"/>
        <v>----</v>
      </c>
      <c r="G10" s="478"/>
      <c r="H10" s="477" t="str">
        <f t="shared" si="0"/>
        <v>----</v>
      </c>
      <c r="I10" s="491"/>
      <c r="J10" s="83" t="str">
        <f t="shared" si="1"/>
        <v>----</v>
      </c>
    </row>
    <row r="11" spans="1:11">
      <c r="A11" s="102"/>
      <c r="B11" s="103"/>
      <c r="C11" s="87"/>
      <c r="D11" s="471"/>
      <c r="E11" s="478"/>
      <c r="F11" s="477" t="str">
        <f t="shared" si="2"/>
        <v>----</v>
      </c>
      <c r="G11" s="478"/>
      <c r="H11" s="477" t="str">
        <f t="shared" si="0"/>
        <v>----</v>
      </c>
      <c r="I11" s="491"/>
      <c r="J11" s="83" t="str">
        <f t="shared" si="1"/>
        <v>----</v>
      </c>
    </row>
    <row r="12" spans="1:11">
      <c r="A12" s="102"/>
      <c r="B12" s="103"/>
      <c r="C12" s="87"/>
      <c r="D12" s="471"/>
      <c r="E12" s="478"/>
      <c r="F12" s="477" t="str">
        <f t="shared" si="2"/>
        <v>----</v>
      </c>
      <c r="G12" s="478"/>
      <c r="H12" s="477" t="str">
        <f t="shared" si="0"/>
        <v>----</v>
      </c>
      <c r="I12" s="491"/>
      <c r="J12" s="83" t="str">
        <f t="shared" si="1"/>
        <v>----</v>
      </c>
    </row>
    <row r="13" spans="1:11">
      <c r="A13" s="102"/>
      <c r="B13" s="103"/>
      <c r="C13" s="87"/>
      <c r="D13" s="471"/>
      <c r="E13" s="478"/>
      <c r="F13" s="477" t="str">
        <f t="shared" si="2"/>
        <v>----</v>
      </c>
      <c r="G13" s="478"/>
      <c r="H13" s="477" t="str">
        <f t="shared" si="0"/>
        <v>----</v>
      </c>
      <c r="I13" s="491"/>
      <c r="J13" s="83" t="str">
        <f t="shared" si="1"/>
        <v>----</v>
      </c>
    </row>
    <row r="14" spans="1:11">
      <c r="A14" s="102"/>
      <c r="B14" s="103"/>
      <c r="C14" s="87"/>
      <c r="D14" s="471"/>
      <c r="E14" s="478"/>
      <c r="F14" s="477" t="str">
        <f t="shared" si="2"/>
        <v>----</v>
      </c>
      <c r="G14" s="478"/>
      <c r="H14" s="477" t="str">
        <f t="shared" si="0"/>
        <v>----</v>
      </c>
      <c r="I14" s="491"/>
      <c r="J14" s="83" t="str">
        <f t="shared" si="1"/>
        <v>----</v>
      </c>
    </row>
    <row r="15" spans="1:11">
      <c r="A15" s="102"/>
      <c r="B15" s="103"/>
      <c r="C15" s="87"/>
      <c r="D15" s="471"/>
      <c r="E15" s="478"/>
      <c r="F15" s="477" t="str">
        <f t="shared" si="2"/>
        <v>----</v>
      </c>
      <c r="G15" s="478"/>
      <c r="H15" s="477" t="str">
        <f t="shared" si="0"/>
        <v>----</v>
      </c>
      <c r="I15" s="491"/>
      <c r="J15" s="83" t="str">
        <f t="shared" si="1"/>
        <v>----</v>
      </c>
    </row>
    <row r="16" spans="1:11">
      <c r="A16" s="102"/>
      <c r="B16" s="103"/>
      <c r="C16" s="87"/>
      <c r="D16" s="471"/>
      <c r="E16" s="478"/>
      <c r="F16" s="477" t="str">
        <f t="shared" si="2"/>
        <v>----</v>
      </c>
      <c r="G16" s="478"/>
      <c r="H16" s="477" t="str">
        <f t="shared" si="0"/>
        <v>----</v>
      </c>
      <c r="I16" s="491"/>
      <c r="J16" s="83" t="str">
        <f t="shared" si="1"/>
        <v>----</v>
      </c>
    </row>
    <row r="17" spans="1:10">
      <c r="A17" s="102"/>
      <c r="B17" s="103"/>
      <c r="C17" s="87"/>
      <c r="D17" s="471"/>
      <c r="E17" s="478"/>
      <c r="F17" s="477" t="str">
        <f t="shared" si="2"/>
        <v>----</v>
      </c>
      <c r="G17" s="478"/>
      <c r="H17" s="477" t="str">
        <f t="shared" si="0"/>
        <v>----</v>
      </c>
      <c r="I17" s="491"/>
      <c r="J17" s="83" t="str">
        <f t="shared" si="1"/>
        <v>----</v>
      </c>
    </row>
    <row r="18" spans="1:10">
      <c r="A18" s="102"/>
      <c r="B18" s="103"/>
      <c r="C18" s="87"/>
      <c r="D18" s="471"/>
      <c r="E18" s="478"/>
      <c r="F18" s="477" t="str">
        <f t="shared" si="2"/>
        <v>----</v>
      </c>
      <c r="G18" s="478"/>
      <c r="H18" s="477" t="str">
        <f t="shared" si="0"/>
        <v>----</v>
      </c>
      <c r="I18" s="491"/>
      <c r="J18" s="83" t="str">
        <f t="shared" si="1"/>
        <v>----</v>
      </c>
    </row>
    <row r="19" spans="1:10">
      <c r="A19" s="116"/>
      <c r="B19" s="117"/>
      <c r="C19" s="118"/>
      <c r="D19" s="472"/>
      <c r="E19" s="479"/>
      <c r="F19" s="492" t="str">
        <f t="shared" si="2"/>
        <v>----</v>
      </c>
      <c r="G19" s="479"/>
      <c r="H19" s="492" t="str">
        <f t="shared" si="0"/>
        <v>----</v>
      </c>
      <c r="I19" s="493"/>
      <c r="J19" s="119" t="str">
        <f t="shared" si="1"/>
        <v>----</v>
      </c>
    </row>
    <row r="20" spans="1:10" ht="15.75" thickBot="1">
      <c r="A20" s="74"/>
      <c r="B20" s="75"/>
      <c r="C20" s="76"/>
      <c r="D20" s="435"/>
      <c r="E20" s="480"/>
      <c r="F20" s="481" t="str">
        <f t="shared" si="2"/>
        <v>----</v>
      </c>
      <c r="G20" s="480"/>
      <c r="H20" s="481" t="str">
        <f t="shared" si="0"/>
        <v>----</v>
      </c>
      <c r="I20" s="486"/>
      <c r="J20" s="77" t="str">
        <f t="shared" si="1"/>
        <v>----</v>
      </c>
    </row>
    <row r="21" spans="1:10" ht="15.75" thickBot="1">
      <c r="A21" s="27"/>
      <c r="B21" s="27"/>
      <c r="C21" s="28"/>
      <c r="D21" s="28"/>
      <c r="E21" s="444"/>
      <c r="F21" s="446">
        <f>SUM(F4:F20)</f>
        <v>0</v>
      </c>
      <c r="G21" s="444"/>
      <c r="H21" s="446">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K17" sqref="K17"/>
    </sheetView>
  </sheetViews>
  <sheetFormatPr defaultRowHeight="15"/>
  <cols>
    <col min="2" max="2" width="22.7109375" bestFit="1" customWidth="1"/>
    <col min="3" max="4" width="10.7109375" bestFit="1" customWidth="1"/>
    <col min="5" max="5" width="10.7109375" style="437" bestFit="1" customWidth="1"/>
    <col min="6" max="6" width="9.5703125" style="437" bestFit="1" customWidth="1"/>
    <col min="7" max="7" width="10.7109375" style="437" bestFit="1" customWidth="1"/>
    <col min="8" max="8" width="9.5703125" style="437" bestFit="1" customWidth="1"/>
    <col min="9" max="9" width="10.7109375" bestFit="1" customWidth="1"/>
    <col min="10" max="10" width="9.5703125" bestFit="1" customWidth="1"/>
  </cols>
  <sheetData>
    <row r="1" spans="1:10" ht="15.75" thickBot="1">
      <c r="A1" s="932" t="s">
        <v>258</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44180</v>
      </c>
      <c r="B4" s="71" t="s">
        <v>363</v>
      </c>
      <c r="C4" s="72">
        <v>814685.26</v>
      </c>
      <c r="D4" s="434">
        <f>C4</f>
        <v>814685.26</v>
      </c>
      <c r="E4" s="474">
        <v>813336.16</v>
      </c>
      <c r="F4" s="475">
        <f>IF(ISBLANK(E4),"----",E4-$D4)</f>
        <v>-1349.0999999999767</v>
      </c>
      <c r="G4" s="474" t="s">
        <v>704</v>
      </c>
      <c r="H4" s="475" t="str">
        <f t="shared" ref="H4:H20" si="0">IF(OR(G4="Complete",ISBLANK(G4)),"----",G4-$D4)</f>
        <v>----</v>
      </c>
      <c r="I4" s="484" t="s">
        <v>704</v>
      </c>
      <c r="J4" s="73" t="str">
        <f t="shared" ref="J4:J20" si="1">IF(OR(I4="Complete",ISBLANK(I4)),"----",I4-$D4)</f>
        <v>----</v>
      </c>
    </row>
    <row r="5" spans="1:10">
      <c r="A5" s="88">
        <v>45097</v>
      </c>
      <c r="B5" s="101" t="s">
        <v>649</v>
      </c>
      <c r="C5" s="82">
        <v>422511.5</v>
      </c>
      <c r="D5" s="436">
        <f>C5</f>
        <v>422511.5</v>
      </c>
      <c r="E5" s="476"/>
      <c r="F5" s="477" t="str">
        <f t="shared" ref="F5:F20" si="2">IF(ISBLANK(E5),"----",E5-$D5)</f>
        <v>----</v>
      </c>
      <c r="G5" s="476"/>
      <c r="H5" s="477" t="str">
        <f t="shared" si="0"/>
        <v>----</v>
      </c>
      <c r="I5" s="489"/>
      <c r="J5" s="83" t="str">
        <f t="shared" si="1"/>
        <v>----</v>
      </c>
    </row>
    <row r="6" spans="1:10">
      <c r="A6" s="91">
        <v>45097</v>
      </c>
      <c r="B6" s="92" t="s">
        <v>650</v>
      </c>
      <c r="C6" s="84">
        <v>364520</v>
      </c>
      <c r="D6" s="482">
        <f>C6</f>
        <v>364520</v>
      </c>
      <c r="E6" s="487"/>
      <c r="F6" s="488" t="str">
        <f t="shared" si="2"/>
        <v>----</v>
      </c>
      <c r="G6" s="487"/>
      <c r="H6" s="488" t="str">
        <f t="shared" si="0"/>
        <v>----</v>
      </c>
      <c r="I6" s="485"/>
      <c r="J6" s="85" t="str">
        <f t="shared" si="1"/>
        <v>----</v>
      </c>
    </row>
    <row r="7" spans="1:10">
      <c r="A7" s="88">
        <v>45342</v>
      </c>
      <c r="B7" s="453" t="s">
        <v>725</v>
      </c>
      <c r="C7" s="377">
        <v>399900.75</v>
      </c>
      <c r="D7" s="573">
        <f>C7</f>
        <v>399900.75</v>
      </c>
      <c r="E7" s="476"/>
      <c r="F7" s="477" t="str">
        <f t="shared" si="2"/>
        <v>----</v>
      </c>
      <c r="G7" s="476"/>
      <c r="H7" s="477" t="str">
        <f t="shared" si="0"/>
        <v>----</v>
      </c>
      <c r="I7" s="489"/>
      <c r="J7" s="83" t="str">
        <f t="shared" si="1"/>
        <v>----</v>
      </c>
    </row>
    <row r="8" spans="1:10">
      <c r="A8" s="91">
        <v>45489</v>
      </c>
      <c r="B8" s="415" t="s">
        <v>763</v>
      </c>
      <c r="C8" s="378">
        <v>770929.9</v>
      </c>
      <c r="D8" s="599">
        <f>C8</f>
        <v>770929.9</v>
      </c>
      <c r="E8" s="487"/>
      <c r="F8" s="488" t="str">
        <f t="shared" si="2"/>
        <v>----</v>
      </c>
      <c r="G8" s="487"/>
      <c r="H8" s="488" t="str">
        <f t="shared" si="0"/>
        <v>----</v>
      </c>
      <c r="I8" s="485"/>
      <c r="J8" s="85" t="str">
        <f t="shared" si="1"/>
        <v>----</v>
      </c>
    </row>
    <row r="9" spans="1:10">
      <c r="A9" s="88"/>
      <c r="B9" s="101"/>
      <c r="C9" s="82"/>
      <c r="D9" s="436"/>
      <c r="E9" s="476"/>
      <c r="F9" s="477" t="str">
        <f t="shared" si="2"/>
        <v>----</v>
      </c>
      <c r="G9" s="476"/>
      <c r="H9" s="477" t="str">
        <f t="shared" si="0"/>
        <v>----</v>
      </c>
      <c r="I9" s="489"/>
      <c r="J9" s="83" t="str">
        <f t="shared" si="1"/>
        <v>----</v>
      </c>
    </row>
    <row r="10" spans="1:10">
      <c r="A10" s="91"/>
      <c r="B10" s="92"/>
      <c r="C10" s="84"/>
      <c r="D10" s="482"/>
      <c r="E10" s="487"/>
      <c r="F10" s="488" t="str">
        <f t="shared" si="2"/>
        <v>----</v>
      </c>
      <c r="G10" s="487"/>
      <c r="H10" s="488" t="str">
        <f t="shared" si="0"/>
        <v>----</v>
      </c>
      <c r="I10" s="485"/>
      <c r="J10" s="85" t="str">
        <f t="shared" si="1"/>
        <v>----</v>
      </c>
    </row>
    <row r="11" spans="1:10">
      <c r="A11" s="88"/>
      <c r="B11" s="101"/>
      <c r="C11" s="82"/>
      <c r="D11" s="436"/>
      <c r="E11" s="476"/>
      <c r="F11" s="477" t="str">
        <f t="shared" si="2"/>
        <v>----</v>
      </c>
      <c r="G11" s="476"/>
      <c r="H11" s="477" t="str">
        <f t="shared" si="0"/>
        <v>----</v>
      </c>
      <c r="I11" s="489"/>
      <c r="J11" s="83" t="str">
        <f t="shared" si="1"/>
        <v>----</v>
      </c>
    </row>
    <row r="12" spans="1:10">
      <c r="A12" s="88"/>
      <c r="B12" s="101"/>
      <c r="C12" s="82"/>
      <c r="D12" s="436"/>
      <c r="E12" s="476"/>
      <c r="F12" s="477" t="str">
        <f t="shared" si="2"/>
        <v>----</v>
      </c>
      <c r="G12" s="476"/>
      <c r="H12" s="477" t="str">
        <f t="shared" si="0"/>
        <v>----</v>
      </c>
      <c r="I12" s="489"/>
      <c r="J12" s="83" t="str">
        <f t="shared" si="1"/>
        <v>----</v>
      </c>
    </row>
    <row r="13" spans="1:10">
      <c r="A13" s="91"/>
      <c r="B13" s="92"/>
      <c r="C13" s="84"/>
      <c r="D13" s="482"/>
      <c r="E13" s="487"/>
      <c r="F13" s="488" t="str">
        <f t="shared" si="2"/>
        <v>----</v>
      </c>
      <c r="G13" s="487"/>
      <c r="H13" s="488" t="str">
        <f t="shared" si="0"/>
        <v>----</v>
      </c>
      <c r="I13" s="485"/>
      <c r="J13" s="85" t="str">
        <f t="shared" si="1"/>
        <v>----</v>
      </c>
    </row>
    <row r="14" spans="1:10">
      <c r="A14" s="88"/>
      <c r="B14" s="101"/>
      <c r="C14" s="82"/>
      <c r="D14" s="436"/>
      <c r="E14" s="476"/>
      <c r="F14" s="477" t="str">
        <f t="shared" si="2"/>
        <v>----</v>
      </c>
      <c r="G14" s="476"/>
      <c r="H14" s="477" t="str">
        <f t="shared" si="0"/>
        <v>----</v>
      </c>
      <c r="I14" s="489"/>
      <c r="J14" s="83" t="str">
        <f t="shared" si="1"/>
        <v>----</v>
      </c>
    </row>
    <row r="15" spans="1:10">
      <c r="A15" s="91"/>
      <c r="B15" s="92"/>
      <c r="C15" s="84"/>
      <c r="D15" s="482"/>
      <c r="E15" s="487"/>
      <c r="F15" s="488" t="str">
        <f t="shared" si="2"/>
        <v>----</v>
      </c>
      <c r="G15" s="487"/>
      <c r="H15" s="488" t="str">
        <f t="shared" si="0"/>
        <v>----</v>
      </c>
      <c r="I15" s="485"/>
      <c r="J15" s="85" t="str">
        <f t="shared" si="1"/>
        <v>----</v>
      </c>
    </row>
    <row r="16" spans="1:10">
      <c r="A16" s="88"/>
      <c r="B16" s="101"/>
      <c r="C16" s="82"/>
      <c r="D16" s="436"/>
      <c r="E16" s="476"/>
      <c r="F16" s="477" t="str">
        <f t="shared" si="2"/>
        <v>----</v>
      </c>
      <c r="G16" s="476"/>
      <c r="H16" s="477" t="str">
        <f t="shared" si="0"/>
        <v>----</v>
      </c>
      <c r="I16" s="489"/>
      <c r="J16" s="83" t="str">
        <f t="shared" si="1"/>
        <v>----</v>
      </c>
    </row>
    <row r="17" spans="1:10">
      <c r="A17" s="91"/>
      <c r="B17" s="92"/>
      <c r="C17" s="84"/>
      <c r="D17" s="482"/>
      <c r="E17" s="487"/>
      <c r="F17" s="488" t="str">
        <f t="shared" si="2"/>
        <v>----</v>
      </c>
      <c r="G17" s="487"/>
      <c r="H17" s="488" t="str">
        <f t="shared" si="0"/>
        <v>----</v>
      </c>
      <c r="I17" s="485"/>
      <c r="J17" s="85" t="str">
        <f t="shared" si="1"/>
        <v>----</v>
      </c>
    </row>
    <row r="18" spans="1:10">
      <c r="A18" s="88"/>
      <c r="B18" s="101"/>
      <c r="C18" s="82"/>
      <c r="D18" s="436"/>
      <c r="E18" s="476"/>
      <c r="F18" s="477" t="str">
        <f t="shared" si="2"/>
        <v>----</v>
      </c>
      <c r="G18" s="476"/>
      <c r="H18" s="477" t="str">
        <f t="shared" si="0"/>
        <v>----</v>
      </c>
      <c r="I18" s="489"/>
      <c r="J18" s="83" t="str">
        <f t="shared" si="1"/>
        <v>----</v>
      </c>
    </row>
    <row r="19" spans="1:10">
      <c r="A19" s="91"/>
      <c r="B19" s="92"/>
      <c r="C19" s="84"/>
      <c r="D19" s="482"/>
      <c r="E19" s="487"/>
      <c r="F19" s="488" t="str">
        <f t="shared" si="2"/>
        <v>----</v>
      </c>
      <c r="G19" s="487"/>
      <c r="H19" s="488" t="str">
        <f t="shared" si="0"/>
        <v>----</v>
      </c>
      <c r="I19" s="485"/>
      <c r="J19" s="85" t="str">
        <f t="shared" si="1"/>
        <v>----</v>
      </c>
    </row>
    <row r="20" spans="1:10" ht="15.75" thickBot="1">
      <c r="A20" s="74"/>
      <c r="B20" s="75"/>
      <c r="C20" s="76"/>
      <c r="D20" s="435"/>
      <c r="E20" s="480"/>
      <c r="F20" s="481" t="str">
        <f t="shared" si="2"/>
        <v>----</v>
      </c>
      <c r="G20" s="480"/>
      <c r="H20" s="481" t="str">
        <f t="shared" si="0"/>
        <v>----</v>
      </c>
      <c r="I20" s="486"/>
      <c r="J20" s="77" t="str">
        <f t="shared" si="1"/>
        <v>----</v>
      </c>
    </row>
    <row r="21" spans="1:10" ht="15.75" thickBot="1">
      <c r="A21" s="27"/>
      <c r="B21" s="27"/>
      <c r="C21" s="28"/>
      <c r="D21" s="28"/>
      <c r="E21" s="444"/>
      <c r="F21" s="446">
        <f>SUM(F4:F20)</f>
        <v>-1349.0999999999767</v>
      </c>
      <c r="G21" s="444"/>
      <c r="H21" s="446">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7"/>
  </cols>
  <sheetData>
    <row r="1" spans="1:10" ht="15.75" thickBot="1">
      <c r="A1" s="932" t="s">
        <v>259</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69" thickBot="1">
      <c r="A3" s="940"/>
      <c r="B3" s="942"/>
      <c r="C3" s="942"/>
      <c r="D3" s="944"/>
      <c r="E3" s="465" t="s">
        <v>121</v>
      </c>
      <c r="F3" s="473" t="s">
        <v>705</v>
      </c>
      <c r="G3" s="465" t="s">
        <v>121</v>
      </c>
      <c r="H3" s="473" t="s">
        <v>705</v>
      </c>
      <c r="I3" s="483" t="s">
        <v>121</v>
      </c>
      <c r="J3" s="25" t="s">
        <v>705</v>
      </c>
    </row>
    <row r="4" spans="1:10">
      <c r="A4" s="70"/>
      <c r="B4" s="71"/>
      <c r="C4" s="72"/>
      <c r="D4" s="434"/>
      <c r="E4" s="474"/>
      <c r="F4" s="475" t="str">
        <f>IF(ISBLANK(E4),"----",E4-$D4)</f>
        <v>----</v>
      </c>
      <c r="G4" s="474"/>
      <c r="H4" s="475" t="str">
        <f>IF(OR(G4="Complete",ISBLANK(G4)),"----",G4-$D4)</f>
        <v>----</v>
      </c>
      <c r="I4" s="484"/>
      <c r="J4" s="73" t="str">
        <f>IF(OR(I4="Complete",ISBLANK(I4)),"----",I4-$D4)</f>
        <v>----</v>
      </c>
    </row>
    <row r="5" spans="1:10">
      <c r="A5" s="88"/>
      <c r="B5" s="101"/>
      <c r="C5" s="82"/>
      <c r="D5" s="436"/>
      <c r="E5" s="476"/>
      <c r="F5" s="477" t="str">
        <f t="shared" ref="F5:F7" si="0">IF(ISBLANK(E5),"----",E5-$D5)</f>
        <v>----</v>
      </c>
      <c r="G5" s="476"/>
      <c r="H5" s="477" t="str">
        <f>IF(OR(G5="Complete",ISBLANK(G5)),"----",G5-$D5)</f>
        <v>----</v>
      </c>
      <c r="I5" s="489"/>
      <c r="J5" s="83" t="str">
        <f>IF(OR(I5="Complete",ISBLANK(I5)),"----",I5-$D5)</f>
        <v>----</v>
      </c>
    </row>
    <row r="6" spans="1:10">
      <c r="A6" s="91"/>
      <c r="B6" s="92"/>
      <c r="C6" s="84"/>
      <c r="D6" s="482"/>
      <c r="E6" s="487"/>
      <c r="F6" s="488" t="str">
        <f t="shared" si="0"/>
        <v>----</v>
      </c>
      <c r="G6" s="487"/>
      <c r="H6" s="488" t="str">
        <f>IF(OR(G6="Complete",ISBLANK(G6)),"----",G6-$D6)</f>
        <v>----</v>
      </c>
      <c r="I6" s="485"/>
      <c r="J6" s="85" t="str">
        <f>IF(OR(I6="Complete",ISBLANK(I6)),"----",I6-$D6)</f>
        <v>----</v>
      </c>
    </row>
    <row r="7" spans="1:10" ht="15.75" thickBot="1">
      <c r="A7" s="74"/>
      <c r="B7" s="75"/>
      <c r="C7" s="76"/>
      <c r="D7" s="435"/>
      <c r="E7" s="480"/>
      <c r="F7" s="481" t="str">
        <f t="shared" si="0"/>
        <v>----</v>
      </c>
      <c r="G7" s="480"/>
      <c r="H7" s="481" t="str">
        <f>IF(OR(G7="Complete",ISBLANK(G7)),"----",G7-$D7)</f>
        <v>----</v>
      </c>
      <c r="I7" s="486"/>
      <c r="J7" s="77" t="str">
        <f>IF(OR(I7="Complete",ISBLANK(I7)),"----",I7-$D7)</f>
        <v>----</v>
      </c>
    </row>
    <row r="8" spans="1:10" ht="15.75" thickBot="1">
      <c r="A8" s="27"/>
      <c r="B8" s="27"/>
      <c r="C8" s="28"/>
      <c r="D8" s="28"/>
      <c r="E8" s="444"/>
      <c r="F8" s="446">
        <f>SUM(F4:F7)</f>
        <v>0</v>
      </c>
      <c r="G8" s="444"/>
      <c r="H8" s="446">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0" sqref="D20"/>
    </sheetView>
  </sheetViews>
  <sheetFormatPr defaultRowHeight="15"/>
  <cols>
    <col min="2" max="2" width="22.85546875" bestFit="1" customWidth="1"/>
    <col min="3" max="3" width="12.5703125" bestFit="1" customWidth="1"/>
    <col min="4" max="4" width="11.140625" customWidth="1"/>
    <col min="5" max="5" width="10.7109375" style="437" bestFit="1" customWidth="1"/>
    <col min="6" max="6" width="11.5703125" style="437" customWidth="1"/>
    <col min="7" max="7" width="10.7109375" style="437" bestFit="1" customWidth="1"/>
    <col min="8" max="8" width="11.5703125" style="437" customWidth="1"/>
    <col min="9" max="9" width="10.7109375" bestFit="1" customWidth="1"/>
    <col min="10" max="10" width="11.5703125" customWidth="1"/>
  </cols>
  <sheetData>
    <row r="1" spans="1:11" ht="15.75" thickBot="1">
      <c r="A1" s="932" t="s">
        <v>137</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99">
        <v>43788</v>
      </c>
      <c r="B4" s="100" t="s">
        <v>147</v>
      </c>
      <c r="C4" s="761">
        <v>597115.5</v>
      </c>
      <c r="D4" s="762">
        <v>477692.4</v>
      </c>
      <c r="E4" s="763"/>
      <c r="F4" s="764" t="str">
        <f>IF(ISBLANK(E4),"----",E4-$D4)</f>
        <v>----</v>
      </c>
      <c r="G4" s="763"/>
      <c r="H4" s="764" t="str">
        <f t="shared" ref="H4:H28" si="0">IF(OR(G4="Complete",ISBLANK(G4)),"----",G4-$D4)</f>
        <v>----</v>
      </c>
      <c r="I4" s="765"/>
      <c r="J4" s="766" t="str">
        <f t="shared" ref="J4:J28" si="1">IF(OR(I4="Complete",ISBLANK(I4)),"----",I4-$D4)</f>
        <v>----</v>
      </c>
      <c r="K4" t="s">
        <v>148</v>
      </c>
    </row>
    <row r="5" spans="1:11">
      <c r="A5" s="127">
        <v>43998</v>
      </c>
      <c r="B5" s="128" t="s">
        <v>291</v>
      </c>
      <c r="C5" s="767">
        <v>179894</v>
      </c>
      <c r="D5" s="768">
        <v>143915.20000000001</v>
      </c>
      <c r="E5" s="769"/>
      <c r="F5" s="770" t="str">
        <f t="shared" ref="F5:F28" si="2">IF(ISBLANK(E5),"----",E5-$D5)</f>
        <v>----</v>
      </c>
      <c r="G5" s="769"/>
      <c r="H5" s="770" t="str">
        <f t="shared" si="0"/>
        <v>----</v>
      </c>
      <c r="I5" s="771"/>
      <c r="J5" s="772" t="str">
        <f t="shared" si="1"/>
        <v>----</v>
      </c>
    </row>
    <row r="6" spans="1:11">
      <c r="A6" s="120">
        <v>44153</v>
      </c>
      <c r="B6" s="121" t="s">
        <v>329</v>
      </c>
      <c r="C6" s="742">
        <v>281201.7</v>
      </c>
      <c r="D6" s="759">
        <f t="shared" ref="D6:D12" si="3">C6</f>
        <v>281201.7</v>
      </c>
      <c r="E6" s="773">
        <v>266195.14</v>
      </c>
      <c r="F6" s="770">
        <f t="shared" si="2"/>
        <v>-15006.559999999998</v>
      </c>
      <c r="G6" s="773" t="s">
        <v>704</v>
      </c>
      <c r="H6" s="770" t="str">
        <f t="shared" si="0"/>
        <v>----</v>
      </c>
      <c r="I6" s="774" t="s">
        <v>704</v>
      </c>
      <c r="J6" s="772" t="str">
        <f t="shared" si="1"/>
        <v>----</v>
      </c>
    </row>
    <row r="7" spans="1:11">
      <c r="A7" s="120">
        <v>44243</v>
      </c>
      <c r="B7" s="121" t="s">
        <v>396</v>
      </c>
      <c r="C7" s="742">
        <v>103731.6</v>
      </c>
      <c r="D7" s="759">
        <f t="shared" si="3"/>
        <v>103731.6</v>
      </c>
      <c r="E7" s="773">
        <v>103779.55</v>
      </c>
      <c r="F7" s="770">
        <f t="shared" si="2"/>
        <v>47.94999999999709</v>
      </c>
      <c r="G7" s="773" t="s">
        <v>704</v>
      </c>
      <c r="H7" s="770" t="str">
        <f t="shared" si="0"/>
        <v>----</v>
      </c>
      <c r="I7" s="774" t="s">
        <v>704</v>
      </c>
      <c r="J7" s="772" t="str">
        <f t="shared" si="1"/>
        <v>----</v>
      </c>
    </row>
    <row r="8" spans="1:11">
      <c r="A8" s="120">
        <v>44243</v>
      </c>
      <c r="B8" s="121" t="s">
        <v>397</v>
      </c>
      <c r="C8" s="742">
        <v>495760.5</v>
      </c>
      <c r="D8" s="759">
        <f t="shared" si="3"/>
        <v>495760.5</v>
      </c>
      <c r="E8" s="773">
        <v>493060.52</v>
      </c>
      <c r="F8" s="770">
        <f t="shared" si="2"/>
        <v>-2699.9799999999814</v>
      </c>
      <c r="G8" s="773" t="s">
        <v>704</v>
      </c>
      <c r="H8" s="770" t="str">
        <f t="shared" si="0"/>
        <v>----</v>
      </c>
      <c r="I8" s="774" t="s">
        <v>704</v>
      </c>
      <c r="J8" s="772" t="str">
        <f t="shared" si="1"/>
        <v>----</v>
      </c>
    </row>
    <row r="9" spans="1:11">
      <c r="A9" s="120">
        <v>44271</v>
      </c>
      <c r="B9" s="121" t="s">
        <v>406</v>
      </c>
      <c r="C9" s="742">
        <v>324861.8</v>
      </c>
      <c r="D9" s="759">
        <f t="shared" si="3"/>
        <v>324861.8</v>
      </c>
      <c r="E9" s="773">
        <v>323236.81</v>
      </c>
      <c r="F9" s="770">
        <f t="shared" si="2"/>
        <v>-1624.9899999999907</v>
      </c>
      <c r="G9" s="773" t="s">
        <v>704</v>
      </c>
      <c r="H9" s="770" t="str">
        <f t="shared" si="0"/>
        <v>----</v>
      </c>
      <c r="I9" s="774" t="s">
        <v>704</v>
      </c>
      <c r="J9" s="772" t="str">
        <f t="shared" si="1"/>
        <v>----</v>
      </c>
    </row>
    <row r="10" spans="1:11">
      <c r="A10" s="219">
        <v>44397</v>
      </c>
      <c r="B10" s="220" t="s">
        <v>434</v>
      </c>
      <c r="C10" s="775">
        <f>164988.83/2</f>
        <v>82494.414999999994</v>
      </c>
      <c r="D10" s="776">
        <f t="shared" si="3"/>
        <v>82494.414999999994</v>
      </c>
      <c r="E10" s="777">
        <v>75833.789999999994</v>
      </c>
      <c r="F10" s="778">
        <f t="shared" si="2"/>
        <v>-6660.625</v>
      </c>
      <c r="G10" s="777" t="s">
        <v>704</v>
      </c>
      <c r="H10" s="778" t="str">
        <f t="shared" si="0"/>
        <v>----</v>
      </c>
      <c r="I10" s="779" t="s">
        <v>704</v>
      </c>
      <c r="J10" s="780" t="str">
        <f t="shared" si="1"/>
        <v>----</v>
      </c>
      <c r="K10" t="s">
        <v>436</v>
      </c>
    </row>
    <row r="11" spans="1:11">
      <c r="A11" s="123">
        <v>44580</v>
      </c>
      <c r="B11" s="124" t="s">
        <v>491</v>
      </c>
      <c r="C11" s="743">
        <v>347870.6</v>
      </c>
      <c r="D11" s="760">
        <f t="shared" si="3"/>
        <v>347870.6</v>
      </c>
      <c r="E11" s="781">
        <v>339834.86</v>
      </c>
      <c r="F11" s="770">
        <f t="shared" si="2"/>
        <v>-8035.7399999999907</v>
      </c>
      <c r="G11" s="781" t="s">
        <v>704</v>
      </c>
      <c r="H11" s="770" t="str">
        <f t="shared" si="0"/>
        <v>----</v>
      </c>
      <c r="I11" s="782" t="s">
        <v>704</v>
      </c>
      <c r="J11" s="772" t="str">
        <f t="shared" si="1"/>
        <v>----</v>
      </c>
    </row>
    <row r="12" spans="1:11">
      <c r="A12" s="120">
        <v>44761</v>
      </c>
      <c r="B12" s="121" t="s">
        <v>147</v>
      </c>
      <c r="C12" s="742">
        <v>224088.2</v>
      </c>
      <c r="D12" s="760">
        <f t="shared" si="3"/>
        <v>224088.2</v>
      </c>
      <c r="E12" s="773">
        <v>224088.2</v>
      </c>
      <c r="F12" s="770">
        <f t="shared" si="2"/>
        <v>0</v>
      </c>
      <c r="G12" s="773" t="s">
        <v>704</v>
      </c>
      <c r="H12" s="770" t="str">
        <f t="shared" si="0"/>
        <v>----</v>
      </c>
      <c r="I12" s="774" t="s">
        <v>704</v>
      </c>
      <c r="J12" s="772" t="str">
        <f t="shared" si="1"/>
        <v>----</v>
      </c>
      <c r="K12" t="s">
        <v>546</v>
      </c>
    </row>
    <row r="13" spans="1:11">
      <c r="A13" s="123">
        <v>44761</v>
      </c>
      <c r="B13" s="124" t="s">
        <v>545</v>
      </c>
      <c r="C13" s="743">
        <f>206085/2</f>
        <v>103042.5</v>
      </c>
      <c r="D13" s="760">
        <f>C13</f>
        <v>103042.5</v>
      </c>
      <c r="E13" s="781">
        <v>104248.34</v>
      </c>
      <c r="F13" s="770">
        <f t="shared" si="2"/>
        <v>1205.8399999999965</v>
      </c>
      <c r="G13" s="781" t="s">
        <v>704</v>
      </c>
      <c r="H13" s="770" t="str">
        <f t="shared" si="0"/>
        <v>----</v>
      </c>
      <c r="I13" s="782" t="s">
        <v>704</v>
      </c>
      <c r="J13" s="772" t="str">
        <f t="shared" si="1"/>
        <v>----</v>
      </c>
      <c r="K13" t="s">
        <v>556</v>
      </c>
    </row>
    <row r="14" spans="1:11">
      <c r="A14" s="120">
        <v>45062</v>
      </c>
      <c r="B14" s="121" t="s">
        <v>645</v>
      </c>
      <c r="C14" s="742">
        <v>388864.8</v>
      </c>
      <c r="D14" s="759">
        <f>C14</f>
        <v>388864.8</v>
      </c>
      <c r="E14" s="773"/>
      <c r="F14" s="770" t="str">
        <f t="shared" si="2"/>
        <v>----</v>
      </c>
      <c r="G14" s="773">
        <v>388864.8</v>
      </c>
      <c r="H14" s="770">
        <f t="shared" si="0"/>
        <v>0</v>
      </c>
      <c r="I14" s="782" t="s">
        <v>704</v>
      </c>
      <c r="J14" s="772" t="str">
        <f t="shared" si="1"/>
        <v>----</v>
      </c>
    </row>
    <row r="15" spans="1:11">
      <c r="A15" s="123">
        <v>45062</v>
      </c>
      <c r="B15" s="124" t="s">
        <v>646</v>
      </c>
      <c r="C15" s="743">
        <v>369684.07</v>
      </c>
      <c r="D15" s="760">
        <f>C15</f>
        <v>369684.07</v>
      </c>
      <c r="E15" s="781"/>
      <c r="F15" s="770" t="str">
        <f t="shared" si="2"/>
        <v>----</v>
      </c>
      <c r="G15" s="781">
        <v>373252.12</v>
      </c>
      <c r="H15" s="770">
        <f t="shared" si="0"/>
        <v>3568.0499999999884</v>
      </c>
      <c r="I15" s="782" t="s">
        <v>704</v>
      </c>
      <c r="J15" s="772" t="str">
        <f t="shared" si="1"/>
        <v>----</v>
      </c>
    </row>
    <row r="16" spans="1:11">
      <c r="A16" s="120">
        <v>45398</v>
      </c>
      <c r="B16" s="121" t="s">
        <v>739</v>
      </c>
      <c r="C16" s="742">
        <v>403283.9</v>
      </c>
      <c r="D16" s="759">
        <f>C16</f>
        <v>403283.9</v>
      </c>
      <c r="E16" s="773"/>
      <c r="F16" s="770" t="str">
        <f t="shared" si="2"/>
        <v>----</v>
      </c>
      <c r="G16" s="773"/>
      <c r="H16" s="770" t="str">
        <f t="shared" si="0"/>
        <v>----</v>
      </c>
      <c r="I16" s="774"/>
      <c r="J16" s="772" t="str">
        <f t="shared" si="1"/>
        <v>----</v>
      </c>
    </row>
    <row r="17" spans="1:11" s="437" customFormat="1">
      <c r="A17" s="123">
        <v>45489</v>
      </c>
      <c r="B17" s="124" t="s">
        <v>761</v>
      </c>
      <c r="C17" s="743">
        <v>1552973.7</v>
      </c>
      <c r="D17" s="759">
        <f>C17-1500000</f>
        <v>52973.699999999953</v>
      </c>
      <c r="E17" s="781"/>
      <c r="F17" s="770" t="str">
        <f t="shared" ref="F17:F26" si="4">IF(ISBLANK(E17),"----",E17-$D17)</f>
        <v>----</v>
      </c>
      <c r="G17" s="781"/>
      <c r="H17" s="770" t="str">
        <f t="shared" si="0"/>
        <v>----</v>
      </c>
      <c r="I17" s="782"/>
      <c r="J17" s="772" t="str">
        <f t="shared" ref="J17:J26" si="5">IF(OR(I17="Complete",ISBLANK(I17)),"----",I17-$D17)</f>
        <v>----</v>
      </c>
      <c r="K17" s="437" t="s">
        <v>767</v>
      </c>
    </row>
    <row r="18" spans="1:11" s="437" customFormat="1">
      <c r="A18" s="123">
        <v>45489</v>
      </c>
      <c r="B18" s="124" t="s">
        <v>762</v>
      </c>
      <c r="C18" s="743">
        <v>375466.68</v>
      </c>
      <c r="D18" s="759">
        <f t="shared" ref="D18" si="6">C18</f>
        <v>375466.68</v>
      </c>
      <c r="E18" s="781"/>
      <c r="F18" s="770" t="str">
        <f t="shared" si="4"/>
        <v>----</v>
      </c>
      <c r="G18" s="781"/>
      <c r="H18" s="770" t="str">
        <f t="shared" si="0"/>
        <v>----</v>
      </c>
      <c r="I18" s="782"/>
      <c r="J18" s="772" t="str">
        <f t="shared" si="5"/>
        <v>----</v>
      </c>
    </row>
    <row r="19" spans="1:11" s="437" customFormat="1">
      <c r="A19" s="733">
        <v>45643</v>
      </c>
      <c r="B19" s="734" t="s">
        <v>806</v>
      </c>
      <c r="C19" s="743">
        <v>169273</v>
      </c>
      <c r="D19" s="760">
        <f>C19</f>
        <v>169273</v>
      </c>
      <c r="E19" s="781"/>
      <c r="F19" s="770" t="str">
        <f t="shared" si="4"/>
        <v>----</v>
      </c>
      <c r="G19" s="781"/>
      <c r="H19" s="770" t="str">
        <f t="shared" si="0"/>
        <v>----</v>
      </c>
      <c r="I19" s="782"/>
      <c r="J19" s="772" t="str">
        <f t="shared" si="5"/>
        <v>----</v>
      </c>
    </row>
    <row r="20" spans="1:11" s="437" customFormat="1">
      <c r="A20" s="123"/>
      <c r="B20" s="124"/>
      <c r="C20" s="743"/>
      <c r="D20" s="760"/>
      <c r="E20" s="781"/>
      <c r="F20" s="770" t="str">
        <f t="shared" si="4"/>
        <v>----</v>
      </c>
      <c r="G20" s="781"/>
      <c r="H20" s="770" t="str">
        <f t="shared" si="0"/>
        <v>----</v>
      </c>
      <c r="I20" s="782"/>
      <c r="J20" s="772" t="str">
        <f t="shared" si="5"/>
        <v>----</v>
      </c>
    </row>
    <row r="21" spans="1:11" s="437" customFormat="1">
      <c r="A21" s="123"/>
      <c r="B21" s="124"/>
      <c r="C21" s="743"/>
      <c r="D21" s="760"/>
      <c r="E21" s="781"/>
      <c r="F21" s="770" t="str">
        <f t="shared" si="4"/>
        <v>----</v>
      </c>
      <c r="G21" s="781"/>
      <c r="H21" s="770" t="str">
        <f t="shared" si="0"/>
        <v>----</v>
      </c>
      <c r="I21" s="782"/>
      <c r="J21" s="772" t="str">
        <f t="shared" si="5"/>
        <v>----</v>
      </c>
    </row>
    <row r="22" spans="1:11" s="437" customFormat="1">
      <c r="A22" s="123"/>
      <c r="B22" s="124"/>
      <c r="C22" s="743"/>
      <c r="D22" s="760"/>
      <c r="E22" s="781"/>
      <c r="F22" s="770" t="str">
        <f t="shared" si="4"/>
        <v>----</v>
      </c>
      <c r="G22" s="781"/>
      <c r="H22" s="770" t="str">
        <f t="shared" si="0"/>
        <v>----</v>
      </c>
      <c r="I22" s="782"/>
      <c r="J22" s="772" t="str">
        <f t="shared" si="5"/>
        <v>----</v>
      </c>
    </row>
    <row r="23" spans="1:11" s="437" customFormat="1">
      <c r="A23" s="123"/>
      <c r="B23" s="124"/>
      <c r="C23" s="743"/>
      <c r="D23" s="760"/>
      <c r="E23" s="781"/>
      <c r="F23" s="770" t="str">
        <f t="shared" si="4"/>
        <v>----</v>
      </c>
      <c r="G23" s="781"/>
      <c r="H23" s="770" t="str">
        <f t="shared" si="0"/>
        <v>----</v>
      </c>
      <c r="I23" s="782"/>
      <c r="J23" s="772" t="str">
        <f t="shared" si="5"/>
        <v>----</v>
      </c>
    </row>
    <row r="24" spans="1:11" s="437" customFormat="1">
      <c r="A24" s="123"/>
      <c r="B24" s="124"/>
      <c r="C24" s="743"/>
      <c r="D24" s="760"/>
      <c r="E24" s="781"/>
      <c r="F24" s="770" t="str">
        <f t="shared" si="4"/>
        <v>----</v>
      </c>
      <c r="G24" s="781"/>
      <c r="H24" s="770" t="str">
        <f t="shared" si="0"/>
        <v>----</v>
      </c>
      <c r="I24" s="782"/>
      <c r="J24" s="772" t="str">
        <f t="shared" si="5"/>
        <v>----</v>
      </c>
    </row>
    <row r="25" spans="1:11" s="437" customFormat="1">
      <c r="A25" s="123"/>
      <c r="B25" s="124"/>
      <c r="C25" s="743"/>
      <c r="D25" s="760"/>
      <c r="E25" s="781"/>
      <c r="F25" s="770" t="str">
        <f t="shared" si="4"/>
        <v>----</v>
      </c>
      <c r="G25" s="781"/>
      <c r="H25" s="770" t="str">
        <f t="shared" si="0"/>
        <v>----</v>
      </c>
      <c r="I25" s="782"/>
      <c r="J25" s="772" t="str">
        <f t="shared" si="5"/>
        <v>----</v>
      </c>
    </row>
    <row r="26" spans="1:11" s="437" customFormat="1">
      <c r="A26" s="123"/>
      <c r="B26" s="124"/>
      <c r="C26" s="743"/>
      <c r="D26" s="760"/>
      <c r="E26" s="781"/>
      <c r="F26" s="770" t="str">
        <f t="shared" si="4"/>
        <v>----</v>
      </c>
      <c r="G26" s="781"/>
      <c r="H26" s="770" t="str">
        <f t="shared" si="0"/>
        <v>----</v>
      </c>
      <c r="I26" s="782"/>
      <c r="J26" s="772" t="str">
        <f t="shared" si="5"/>
        <v>----</v>
      </c>
    </row>
    <row r="27" spans="1:11">
      <c r="A27" s="123"/>
      <c r="B27" s="124"/>
      <c r="C27" s="743"/>
      <c r="D27" s="760"/>
      <c r="E27" s="781"/>
      <c r="F27" s="770" t="str">
        <f t="shared" si="2"/>
        <v>----</v>
      </c>
      <c r="G27" s="781"/>
      <c r="H27" s="770" t="str">
        <f t="shared" si="0"/>
        <v>----</v>
      </c>
      <c r="I27" s="782"/>
      <c r="J27" s="772" t="str">
        <f t="shared" si="1"/>
        <v>----</v>
      </c>
    </row>
    <row r="28" spans="1:11" ht="15.75" thickBot="1">
      <c r="A28" s="74"/>
      <c r="B28" s="75"/>
      <c r="C28" s="740"/>
      <c r="D28" s="748"/>
      <c r="E28" s="758"/>
      <c r="F28" s="783" t="str">
        <f t="shared" si="2"/>
        <v>----</v>
      </c>
      <c r="G28" s="758"/>
      <c r="H28" s="783" t="str">
        <f t="shared" si="0"/>
        <v>----</v>
      </c>
      <c r="I28" s="753"/>
      <c r="J28" s="784" t="str">
        <f t="shared" si="1"/>
        <v>----</v>
      </c>
    </row>
    <row r="29" spans="1:11" ht="15.75" thickBot="1">
      <c r="A29" s="27"/>
      <c r="B29" s="27"/>
      <c r="C29" s="28"/>
      <c r="D29" s="28"/>
      <c r="E29" s="444"/>
      <c r="F29" s="446">
        <f>SUM(F4:F28)</f>
        <v>-32774.104999999967</v>
      </c>
      <c r="G29" s="444"/>
      <c r="H29" s="446">
        <f>SUM(H4:H28)</f>
        <v>3568.0499999999884</v>
      </c>
      <c r="I29" s="28"/>
      <c r="J29" s="69">
        <f>SUM(J4:J28)</f>
        <v>0</v>
      </c>
    </row>
    <row r="30" spans="1:11">
      <c r="A30" s="17"/>
      <c r="B30" s="17"/>
      <c r="C30" s="20"/>
      <c r="D30" s="20"/>
      <c r="E30" s="440"/>
      <c r="F30" s="440"/>
      <c r="G30" s="440"/>
      <c r="H30" s="440"/>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7" bestFit="1" customWidth="1"/>
    <col min="6" max="6" width="15" style="437" customWidth="1"/>
    <col min="7" max="7" width="12" style="437" bestFit="1" customWidth="1"/>
    <col min="8" max="8" width="15" style="437" customWidth="1"/>
    <col min="9" max="9" width="12" bestFit="1" customWidth="1"/>
    <col min="10" max="10" width="15" customWidth="1"/>
  </cols>
  <sheetData>
    <row r="1" spans="1:10" ht="15.75" thickBot="1">
      <c r="A1" s="932" t="s">
        <v>180</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46.5" thickBot="1">
      <c r="A3" s="940"/>
      <c r="B3" s="942"/>
      <c r="C3" s="942"/>
      <c r="D3" s="944"/>
      <c r="E3" s="465" t="s">
        <v>121</v>
      </c>
      <c r="F3" s="473" t="s">
        <v>705</v>
      </c>
      <c r="G3" s="465" t="s">
        <v>121</v>
      </c>
      <c r="H3" s="473" t="s">
        <v>705</v>
      </c>
      <c r="I3" s="483" t="s">
        <v>121</v>
      </c>
      <c r="J3" s="25" t="s">
        <v>705</v>
      </c>
    </row>
    <row r="4" spans="1:10">
      <c r="A4" s="70">
        <v>43852</v>
      </c>
      <c r="B4" s="71" t="s">
        <v>201</v>
      </c>
      <c r="C4" s="72">
        <v>501799.95</v>
      </c>
      <c r="D4" s="434">
        <f>C4</f>
        <v>501799.95</v>
      </c>
      <c r="E4" s="474">
        <v>498472.85</v>
      </c>
      <c r="F4" s="475">
        <f>IF(ISBLANK(E4),"----",E4-$D4)</f>
        <v>-3327.1000000000349</v>
      </c>
      <c r="G4" s="474" t="s">
        <v>704</v>
      </c>
      <c r="H4" s="475" t="str">
        <f t="shared" ref="H4:H24" si="0">IF(OR(G4="Complete",ISBLANK(G4)),"----",G4-$D4)</f>
        <v>----</v>
      </c>
      <c r="I4" s="484" t="s">
        <v>704</v>
      </c>
      <c r="J4" s="73" t="str">
        <f t="shared" ref="J4:J24" si="1">IF(OR(I4="Complete",ISBLANK(I4)),"----",I4-$D4)</f>
        <v>----</v>
      </c>
    </row>
    <row r="5" spans="1:10">
      <c r="A5" s="88">
        <v>44216</v>
      </c>
      <c r="B5" s="101" t="s">
        <v>373</v>
      </c>
      <c r="C5" s="82">
        <v>1107321.05</v>
      </c>
      <c r="D5" s="436">
        <f>C5</f>
        <v>1107321.05</v>
      </c>
      <c r="E5" s="476">
        <v>1137680.49</v>
      </c>
      <c r="F5" s="477">
        <f t="shared" ref="F5:F24" si="2">IF(ISBLANK(E5),"----",E5-$D5)</f>
        <v>30359.439999999944</v>
      </c>
      <c r="G5" s="476" t="s">
        <v>704</v>
      </c>
      <c r="H5" s="477" t="str">
        <f t="shared" si="0"/>
        <v>----</v>
      </c>
      <c r="I5" s="489" t="s">
        <v>704</v>
      </c>
      <c r="J5" s="83" t="str">
        <f t="shared" si="1"/>
        <v>----</v>
      </c>
    </row>
    <row r="6" spans="1:10">
      <c r="A6" s="102">
        <v>45125</v>
      </c>
      <c r="B6" s="103" t="s">
        <v>655</v>
      </c>
      <c r="C6" s="87">
        <v>1699701.65</v>
      </c>
      <c r="D6" s="471">
        <f>C6</f>
        <v>1699701.65</v>
      </c>
      <c r="E6" s="478"/>
      <c r="F6" s="477" t="str">
        <f t="shared" si="2"/>
        <v>----</v>
      </c>
      <c r="G6" s="478"/>
      <c r="H6" s="477" t="str">
        <f t="shared" si="0"/>
        <v>----</v>
      </c>
      <c r="I6" s="491"/>
      <c r="J6" s="83" t="str">
        <f t="shared" si="1"/>
        <v>----</v>
      </c>
    </row>
    <row r="7" spans="1:10">
      <c r="A7" s="102"/>
      <c r="B7" s="103"/>
      <c r="C7" s="87"/>
      <c r="D7" s="471"/>
      <c r="E7" s="478"/>
      <c r="F7" s="477" t="str">
        <f t="shared" si="2"/>
        <v>----</v>
      </c>
      <c r="G7" s="478"/>
      <c r="H7" s="477" t="str">
        <f t="shared" si="0"/>
        <v>----</v>
      </c>
      <c r="I7" s="491"/>
      <c r="J7" s="83" t="str">
        <f t="shared" si="1"/>
        <v>----</v>
      </c>
    </row>
    <row r="8" spans="1:10">
      <c r="A8" s="102"/>
      <c r="B8" s="103"/>
      <c r="C8" s="87"/>
      <c r="D8" s="471"/>
      <c r="E8" s="478"/>
      <c r="F8" s="477" t="str">
        <f t="shared" si="2"/>
        <v>----</v>
      </c>
      <c r="G8" s="478"/>
      <c r="H8" s="477" t="str">
        <f t="shared" si="0"/>
        <v>----</v>
      </c>
      <c r="I8" s="491"/>
      <c r="J8" s="83" t="str">
        <f t="shared" si="1"/>
        <v>----</v>
      </c>
    </row>
    <row r="9" spans="1:10">
      <c r="A9" s="102"/>
      <c r="B9" s="103"/>
      <c r="C9" s="87"/>
      <c r="D9" s="471"/>
      <c r="E9" s="478"/>
      <c r="F9" s="477" t="str">
        <f t="shared" si="2"/>
        <v>----</v>
      </c>
      <c r="G9" s="478"/>
      <c r="H9" s="477" t="str">
        <f t="shared" si="0"/>
        <v>----</v>
      </c>
      <c r="I9" s="491"/>
      <c r="J9" s="83" t="str">
        <f t="shared" si="1"/>
        <v>----</v>
      </c>
    </row>
    <row r="10" spans="1:10">
      <c r="A10" s="102"/>
      <c r="B10" s="103"/>
      <c r="C10" s="87"/>
      <c r="D10" s="471"/>
      <c r="E10" s="478"/>
      <c r="F10" s="477" t="str">
        <f t="shared" si="2"/>
        <v>----</v>
      </c>
      <c r="G10" s="478"/>
      <c r="H10" s="477" t="str">
        <f t="shared" si="0"/>
        <v>----</v>
      </c>
      <c r="I10" s="491"/>
      <c r="J10" s="83" t="str">
        <f t="shared" si="1"/>
        <v>----</v>
      </c>
    </row>
    <row r="11" spans="1:10">
      <c r="A11" s="102"/>
      <c r="B11" s="103"/>
      <c r="C11" s="87"/>
      <c r="D11" s="471"/>
      <c r="E11" s="478"/>
      <c r="F11" s="477" t="str">
        <f t="shared" si="2"/>
        <v>----</v>
      </c>
      <c r="G11" s="478"/>
      <c r="H11" s="477" t="str">
        <f t="shared" si="0"/>
        <v>----</v>
      </c>
      <c r="I11" s="491"/>
      <c r="J11" s="83" t="str">
        <f t="shared" si="1"/>
        <v>----</v>
      </c>
    </row>
    <row r="12" spans="1:10">
      <c r="A12" s="102"/>
      <c r="B12" s="103"/>
      <c r="C12" s="87"/>
      <c r="D12" s="471"/>
      <c r="E12" s="478"/>
      <c r="F12" s="477" t="str">
        <f t="shared" si="2"/>
        <v>----</v>
      </c>
      <c r="G12" s="478"/>
      <c r="H12" s="477" t="str">
        <f t="shared" si="0"/>
        <v>----</v>
      </c>
      <c r="I12" s="491"/>
      <c r="J12" s="83" t="str">
        <f t="shared" si="1"/>
        <v>----</v>
      </c>
    </row>
    <row r="13" spans="1:10">
      <c r="A13" s="102"/>
      <c r="B13" s="103"/>
      <c r="C13" s="87"/>
      <c r="D13" s="471"/>
      <c r="E13" s="478"/>
      <c r="F13" s="477" t="str">
        <f t="shared" si="2"/>
        <v>----</v>
      </c>
      <c r="G13" s="478"/>
      <c r="H13" s="477" t="str">
        <f t="shared" si="0"/>
        <v>----</v>
      </c>
      <c r="I13" s="491"/>
      <c r="J13" s="83" t="str">
        <f t="shared" si="1"/>
        <v>----</v>
      </c>
    </row>
    <row r="14" spans="1:10">
      <c r="A14" s="102"/>
      <c r="B14" s="103"/>
      <c r="C14" s="87"/>
      <c r="D14" s="471"/>
      <c r="E14" s="478"/>
      <c r="F14" s="477" t="str">
        <f t="shared" si="2"/>
        <v>----</v>
      </c>
      <c r="G14" s="478"/>
      <c r="H14" s="477" t="str">
        <f t="shared" si="0"/>
        <v>----</v>
      </c>
      <c r="I14" s="491"/>
      <c r="J14" s="83" t="str">
        <f t="shared" si="1"/>
        <v>----</v>
      </c>
    </row>
    <row r="15" spans="1:10">
      <c r="A15" s="102"/>
      <c r="B15" s="103"/>
      <c r="C15" s="87"/>
      <c r="D15" s="471"/>
      <c r="E15" s="478"/>
      <c r="F15" s="477" t="str">
        <f t="shared" si="2"/>
        <v>----</v>
      </c>
      <c r="G15" s="478"/>
      <c r="H15" s="477" t="str">
        <f t="shared" si="0"/>
        <v>----</v>
      </c>
      <c r="I15" s="491"/>
      <c r="J15" s="83" t="str">
        <f t="shared" si="1"/>
        <v>----</v>
      </c>
    </row>
    <row r="16" spans="1:10">
      <c r="A16" s="102"/>
      <c r="B16" s="103"/>
      <c r="C16" s="87"/>
      <c r="D16" s="471"/>
      <c r="E16" s="478"/>
      <c r="F16" s="477" t="str">
        <f t="shared" si="2"/>
        <v>----</v>
      </c>
      <c r="G16" s="478"/>
      <c r="H16" s="477" t="str">
        <f t="shared" si="0"/>
        <v>----</v>
      </c>
      <c r="I16" s="491"/>
      <c r="J16" s="83" t="str">
        <f t="shared" si="1"/>
        <v>----</v>
      </c>
    </row>
    <row r="17" spans="1:10">
      <c r="A17" s="102"/>
      <c r="B17" s="103"/>
      <c r="C17" s="87"/>
      <c r="D17" s="471"/>
      <c r="E17" s="478"/>
      <c r="F17" s="477" t="str">
        <f t="shared" si="2"/>
        <v>----</v>
      </c>
      <c r="G17" s="478"/>
      <c r="H17" s="477" t="str">
        <f t="shared" si="0"/>
        <v>----</v>
      </c>
      <c r="I17" s="491"/>
      <c r="J17" s="83" t="str">
        <f t="shared" si="1"/>
        <v>----</v>
      </c>
    </row>
    <row r="18" spans="1:10">
      <c r="A18" s="102"/>
      <c r="B18" s="103"/>
      <c r="C18" s="87"/>
      <c r="D18" s="471"/>
      <c r="E18" s="478"/>
      <c r="F18" s="477" t="str">
        <f t="shared" si="2"/>
        <v>----</v>
      </c>
      <c r="G18" s="478"/>
      <c r="H18" s="477" t="str">
        <f t="shared" si="0"/>
        <v>----</v>
      </c>
      <c r="I18" s="491"/>
      <c r="J18" s="83" t="str">
        <f t="shared" si="1"/>
        <v>----</v>
      </c>
    </row>
    <row r="19" spans="1:10">
      <c r="A19" s="102"/>
      <c r="B19" s="103"/>
      <c r="C19" s="87"/>
      <c r="D19" s="471"/>
      <c r="E19" s="478"/>
      <c r="F19" s="477" t="str">
        <f t="shared" si="2"/>
        <v>----</v>
      </c>
      <c r="G19" s="478"/>
      <c r="H19" s="477" t="str">
        <f t="shared" si="0"/>
        <v>----</v>
      </c>
      <c r="I19" s="491"/>
      <c r="J19" s="83" t="str">
        <f t="shared" si="1"/>
        <v>----</v>
      </c>
    </row>
    <row r="20" spans="1:10">
      <c r="A20" s="102"/>
      <c r="B20" s="103"/>
      <c r="C20" s="87"/>
      <c r="D20" s="471"/>
      <c r="E20" s="478"/>
      <c r="F20" s="477" t="str">
        <f t="shared" si="2"/>
        <v>----</v>
      </c>
      <c r="G20" s="478"/>
      <c r="H20" s="477" t="str">
        <f t="shared" si="0"/>
        <v>----</v>
      </c>
      <c r="I20" s="491"/>
      <c r="J20" s="83" t="str">
        <f t="shared" si="1"/>
        <v>----</v>
      </c>
    </row>
    <row r="21" spans="1:10">
      <c r="A21" s="102"/>
      <c r="B21" s="103"/>
      <c r="C21" s="87"/>
      <c r="D21" s="471"/>
      <c r="E21" s="478"/>
      <c r="F21" s="477" t="str">
        <f t="shared" si="2"/>
        <v>----</v>
      </c>
      <c r="G21" s="478"/>
      <c r="H21" s="477" t="str">
        <f t="shared" si="0"/>
        <v>----</v>
      </c>
      <c r="I21" s="491"/>
      <c r="J21" s="83" t="str">
        <f t="shared" si="1"/>
        <v>----</v>
      </c>
    </row>
    <row r="22" spans="1:10">
      <c r="A22" s="102"/>
      <c r="B22" s="103"/>
      <c r="C22" s="87"/>
      <c r="D22" s="471"/>
      <c r="E22" s="478"/>
      <c r="F22" s="477" t="str">
        <f t="shared" si="2"/>
        <v>----</v>
      </c>
      <c r="G22" s="478"/>
      <c r="H22" s="477" t="str">
        <f t="shared" si="0"/>
        <v>----</v>
      </c>
      <c r="I22" s="491"/>
      <c r="J22" s="83" t="str">
        <f t="shared" si="1"/>
        <v>----</v>
      </c>
    </row>
    <row r="23" spans="1:10">
      <c r="A23" s="116"/>
      <c r="B23" s="117"/>
      <c r="C23" s="118"/>
      <c r="D23" s="472"/>
      <c r="E23" s="479"/>
      <c r="F23" s="477" t="str">
        <f t="shared" si="2"/>
        <v>----</v>
      </c>
      <c r="G23" s="479"/>
      <c r="H23" s="477" t="str">
        <f t="shared" si="0"/>
        <v>----</v>
      </c>
      <c r="I23" s="493"/>
      <c r="J23" s="83" t="str">
        <f t="shared" si="1"/>
        <v>----</v>
      </c>
    </row>
    <row r="24" spans="1:10" ht="15.75" thickBot="1">
      <c r="A24" s="74"/>
      <c r="B24" s="75"/>
      <c r="C24" s="76"/>
      <c r="D24" s="435"/>
      <c r="E24" s="480"/>
      <c r="F24" s="481" t="str">
        <f t="shared" si="2"/>
        <v>----</v>
      </c>
      <c r="G24" s="480"/>
      <c r="H24" s="481" t="str">
        <f t="shared" si="0"/>
        <v>----</v>
      </c>
      <c r="I24" s="486"/>
      <c r="J24" s="77" t="str">
        <f t="shared" si="1"/>
        <v>----</v>
      </c>
    </row>
    <row r="25" spans="1:10" ht="15.75" thickBot="1">
      <c r="A25" s="27"/>
      <c r="B25" s="27"/>
      <c r="C25" s="28"/>
      <c r="D25" s="28"/>
      <c r="E25" s="444"/>
      <c r="F25" s="446">
        <f>SUM(F4:F24)</f>
        <v>27032.339999999909</v>
      </c>
      <c r="G25" s="444"/>
      <c r="H25" s="446">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7" bestFit="1" customWidth="1"/>
    <col min="6" max="6" width="10.85546875" style="437" customWidth="1"/>
    <col min="7" max="7" width="9.5703125" style="437" bestFit="1" customWidth="1"/>
    <col min="8" max="8" width="10.85546875" style="437" customWidth="1"/>
    <col min="9" max="9" width="9.5703125" bestFit="1" customWidth="1"/>
    <col min="10" max="10" width="10.85546875" customWidth="1"/>
  </cols>
  <sheetData>
    <row r="1" spans="1:11" ht="15.75" thickBot="1">
      <c r="A1" s="932" t="s">
        <v>230</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70">
        <v>43942</v>
      </c>
      <c r="B4" s="71" t="s">
        <v>292</v>
      </c>
      <c r="C4" s="72">
        <v>233893.7</v>
      </c>
      <c r="D4" s="539">
        <f>C4</f>
        <v>233893.7</v>
      </c>
      <c r="E4" s="549">
        <v>237080.75</v>
      </c>
      <c r="F4" s="475">
        <f>IF(ISBLANK(E4),"----",E4-$D4)</f>
        <v>3187.0499999999884</v>
      </c>
      <c r="G4" s="549" t="s">
        <v>704</v>
      </c>
      <c r="H4" s="475" t="str">
        <f t="shared" ref="H4:H25" si="0">IF(OR(G4="Complete",ISBLANK(G4)),"----",G4-$D4)</f>
        <v>----</v>
      </c>
      <c r="I4" s="544" t="s">
        <v>704</v>
      </c>
      <c r="J4" s="73" t="str">
        <f t="shared" ref="J4:J25" si="1">IF(OR(I4="Complete",ISBLANK(I4)),"----",I4-$D4)</f>
        <v>----</v>
      </c>
    </row>
    <row r="5" spans="1:11">
      <c r="A5" s="88">
        <v>43998</v>
      </c>
      <c r="B5" s="101" t="s">
        <v>293</v>
      </c>
      <c r="C5" s="82">
        <v>150524.9</v>
      </c>
      <c r="D5" s="540">
        <f>C5</f>
        <v>150524.9</v>
      </c>
      <c r="E5" s="550">
        <v>152134.9</v>
      </c>
      <c r="F5" s="477">
        <f t="shared" ref="F5:F25" si="2">IF(ISBLANK(E5),"----",E5-$D5)</f>
        <v>1610</v>
      </c>
      <c r="G5" s="550" t="s">
        <v>704</v>
      </c>
      <c r="H5" s="477" t="str">
        <f t="shared" si="0"/>
        <v>----</v>
      </c>
      <c r="I5" s="545" t="s">
        <v>704</v>
      </c>
      <c r="J5" s="83" t="str">
        <f t="shared" si="1"/>
        <v>----</v>
      </c>
    </row>
    <row r="6" spans="1:11">
      <c r="A6" s="102">
        <v>44153</v>
      </c>
      <c r="B6" s="103" t="s">
        <v>330</v>
      </c>
      <c r="C6" s="87">
        <v>698479.37</v>
      </c>
      <c r="D6" s="541">
        <v>343449.37</v>
      </c>
      <c r="E6" s="551">
        <v>343235.76</v>
      </c>
      <c r="F6" s="477">
        <f t="shared" si="2"/>
        <v>-213.60999999998603</v>
      </c>
      <c r="G6" s="551" t="s">
        <v>704</v>
      </c>
      <c r="H6" s="477" t="str">
        <f t="shared" si="0"/>
        <v>----</v>
      </c>
      <c r="I6" s="546" t="s">
        <v>704</v>
      </c>
      <c r="J6" s="83" t="str">
        <f t="shared" si="1"/>
        <v>----</v>
      </c>
    </row>
    <row r="7" spans="1:11">
      <c r="A7" s="102">
        <v>44362</v>
      </c>
      <c r="B7" s="103" t="s">
        <v>431</v>
      </c>
      <c r="C7" s="87">
        <v>488462</v>
      </c>
      <c r="D7" s="541">
        <f>C7</f>
        <v>488462</v>
      </c>
      <c r="E7" s="551">
        <v>487394.23</v>
      </c>
      <c r="F7" s="477">
        <f t="shared" si="2"/>
        <v>-1067.7700000000186</v>
      </c>
      <c r="G7" s="551" t="s">
        <v>704</v>
      </c>
      <c r="H7" s="477" t="str">
        <f t="shared" si="0"/>
        <v>----</v>
      </c>
      <c r="I7" s="546" t="s">
        <v>704</v>
      </c>
      <c r="J7" s="83" t="str">
        <f t="shared" si="1"/>
        <v>----</v>
      </c>
    </row>
    <row r="8" spans="1:11">
      <c r="A8" s="102">
        <v>44915</v>
      </c>
      <c r="B8" s="103" t="s">
        <v>608</v>
      </c>
      <c r="C8" s="87">
        <v>264878</v>
      </c>
      <c r="D8" s="541">
        <v>264878</v>
      </c>
      <c r="E8" s="551"/>
      <c r="F8" s="477" t="str">
        <f t="shared" si="2"/>
        <v>----</v>
      </c>
      <c r="G8" s="551">
        <v>258983.85</v>
      </c>
      <c r="H8" s="477">
        <f t="shared" si="0"/>
        <v>-5894.1499999999942</v>
      </c>
      <c r="I8" s="546" t="s">
        <v>704</v>
      </c>
      <c r="J8" s="83" t="str">
        <f t="shared" si="1"/>
        <v>----</v>
      </c>
    </row>
    <row r="9" spans="1:11">
      <c r="A9" s="102">
        <v>44915</v>
      </c>
      <c r="B9" s="103" t="s">
        <v>609</v>
      </c>
      <c r="C9" s="87">
        <v>181068</v>
      </c>
      <c r="D9" s="541">
        <v>181068</v>
      </c>
      <c r="E9" s="551"/>
      <c r="F9" s="477" t="str">
        <f t="shared" si="2"/>
        <v>----</v>
      </c>
      <c r="G9" s="551">
        <v>180121.60000000001</v>
      </c>
      <c r="H9" s="477">
        <f t="shared" si="0"/>
        <v>-946.39999999999418</v>
      </c>
      <c r="I9" s="546" t="s">
        <v>704</v>
      </c>
      <c r="J9" s="83" t="str">
        <f t="shared" si="1"/>
        <v>----</v>
      </c>
    </row>
    <row r="10" spans="1:11">
      <c r="A10" s="102">
        <v>44915</v>
      </c>
      <c r="B10" s="103" t="s">
        <v>610</v>
      </c>
      <c r="C10" s="87">
        <v>156721.9</v>
      </c>
      <c r="D10" s="541">
        <f>31344.38+125377.52</f>
        <v>156721.9</v>
      </c>
      <c r="E10" s="551"/>
      <c r="F10" s="477" t="str">
        <f t="shared" si="2"/>
        <v>----</v>
      </c>
      <c r="G10" s="551">
        <v>154528.10999999999</v>
      </c>
      <c r="H10" s="477">
        <f t="shared" si="0"/>
        <v>-2193.7900000000081</v>
      </c>
      <c r="I10" s="546" t="s">
        <v>704</v>
      </c>
      <c r="J10" s="83" t="str">
        <f t="shared" si="1"/>
        <v>----</v>
      </c>
    </row>
    <row r="11" spans="1:11">
      <c r="A11" s="102">
        <v>44915</v>
      </c>
      <c r="B11" s="103" t="s">
        <v>611</v>
      </c>
      <c r="C11" s="87">
        <v>170342</v>
      </c>
      <c r="D11" s="541">
        <f>34068.4+136273.6</f>
        <v>170342</v>
      </c>
      <c r="E11" s="551"/>
      <c r="F11" s="477" t="str">
        <f t="shared" si="2"/>
        <v>----</v>
      </c>
      <c r="G11" s="551">
        <v>177436.6</v>
      </c>
      <c r="H11" s="477">
        <f t="shared" si="0"/>
        <v>7094.6000000000058</v>
      </c>
      <c r="I11" s="546" t="s">
        <v>704</v>
      </c>
      <c r="J11" s="83" t="str">
        <f t="shared" si="1"/>
        <v>----</v>
      </c>
    </row>
    <row r="12" spans="1:11">
      <c r="A12" s="102">
        <v>44915</v>
      </c>
      <c r="B12" s="103" t="s">
        <v>612</v>
      </c>
      <c r="C12" s="87">
        <v>370578</v>
      </c>
      <c r="D12" s="541">
        <f>74115.6+296462.4</f>
        <v>370578</v>
      </c>
      <c r="E12" s="551"/>
      <c r="F12" s="477" t="str">
        <f t="shared" si="2"/>
        <v>----</v>
      </c>
      <c r="G12" s="551">
        <v>367492.5</v>
      </c>
      <c r="H12" s="477">
        <f t="shared" si="0"/>
        <v>-3085.5</v>
      </c>
      <c r="I12" s="546" t="s">
        <v>704</v>
      </c>
      <c r="J12" s="83" t="str">
        <f t="shared" si="1"/>
        <v>----</v>
      </c>
      <c r="K12" t="s">
        <v>760</v>
      </c>
    </row>
    <row r="13" spans="1:11">
      <c r="A13" s="102">
        <v>44915</v>
      </c>
      <c r="B13" s="103" t="s">
        <v>613</v>
      </c>
      <c r="C13" s="87">
        <v>268230.84999999998</v>
      </c>
      <c r="D13" s="541">
        <f>C13</f>
        <v>268230.84999999998</v>
      </c>
      <c r="E13" s="551"/>
      <c r="F13" s="477" t="str">
        <f t="shared" si="2"/>
        <v>----</v>
      </c>
      <c r="G13" s="551">
        <v>271070.62</v>
      </c>
      <c r="H13" s="477">
        <f t="shared" si="0"/>
        <v>2839.7700000000186</v>
      </c>
      <c r="I13" s="546"/>
      <c r="J13" s="83" t="str">
        <f t="shared" si="1"/>
        <v>----</v>
      </c>
    </row>
    <row r="14" spans="1:11">
      <c r="A14" s="102"/>
      <c r="B14" s="103"/>
      <c r="C14" s="87"/>
      <c r="D14" s="541"/>
      <c r="E14" s="551"/>
      <c r="F14" s="477" t="str">
        <f t="shared" si="2"/>
        <v>----</v>
      </c>
      <c r="G14" s="551"/>
      <c r="H14" s="477" t="str">
        <f t="shared" si="0"/>
        <v>----</v>
      </c>
      <c r="I14" s="546"/>
      <c r="J14" s="83" t="str">
        <f t="shared" si="1"/>
        <v>----</v>
      </c>
    </row>
    <row r="15" spans="1:11">
      <c r="A15" s="102"/>
      <c r="B15" s="103"/>
      <c r="C15" s="87"/>
      <c r="D15" s="541"/>
      <c r="E15" s="551"/>
      <c r="F15" s="477" t="str">
        <f t="shared" si="2"/>
        <v>----</v>
      </c>
      <c r="G15" s="551"/>
      <c r="H15" s="477" t="str">
        <f t="shared" si="0"/>
        <v>----</v>
      </c>
      <c r="I15" s="546"/>
      <c r="J15" s="83" t="str">
        <f t="shared" si="1"/>
        <v>----</v>
      </c>
    </row>
    <row r="16" spans="1:11">
      <c r="A16" s="102"/>
      <c r="B16" s="103"/>
      <c r="C16" s="87"/>
      <c r="D16" s="541"/>
      <c r="E16" s="551"/>
      <c r="F16" s="477" t="str">
        <f t="shared" si="2"/>
        <v>----</v>
      </c>
      <c r="G16" s="551"/>
      <c r="H16" s="477" t="str">
        <f t="shared" si="0"/>
        <v>----</v>
      </c>
      <c r="I16" s="546"/>
      <c r="J16" s="83" t="str">
        <f t="shared" si="1"/>
        <v>----</v>
      </c>
    </row>
    <row r="17" spans="1:10">
      <c r="A17" s="102"/>
      <c r="B17" s="103"/>
      <c r="C17" s="87"/>
      <c r="D17" s="541"/>
      <c r="E17" s="551"/>
      <c r="F17" s="477" t="str">
        <f t="shared" si="2"/>
        <v>----</v>
      </c>
      <c r="G17" s="551"/>
      <c r="H17" s="477" t="str">
        <f t="shared" si="0"/>
        <v>----</v>
      </c>
      <c r="I17" s="546"/>
      <c r="J17" s="83" t="str">
        <f t="shared" si="1"/>
        <v>----</v>
      </c>
    </row>
    <row r="18" spans="1:10">
      <c r="A18" s="102"/>
      <c r="B18" s="103"/>
      <c r="C18" s="87"/>
      <c r="D18" s="541"/>
      <c r="E18" s="551"/>
      <c r="F18" s="477" t="str">
        <f t="shared" si="2"/>
        <v>----</v>
      </c>
      <c r="G18" s="551"/>
      <c r="H18" s="477" t="str">
        <f t="shared" si="0"/>
        <v>----</v>
      </c>
      <c r="I18" s="546"/>
      <c r="J18" s="83" t="str">
        <f t="shared" si="1"/>
        <v>----</v>
      </c>
    </row>
    <row r="19" spans="1:10">
      <c r="A19" s="102"/>
      <c r="B19" s="103"/>
      <c r="C19" s="87"/>
      <c r="D19" s="541"/>
      <c r="E19" s="551"/>
      <c r="F19" s="477" t="str">
        <f t="shared" si="2"/>
        <v>----</v>
      </c>
      <c r="G19" s="551"/>
      <c r="H19" s="477" t="str">
        <f t="shared" si="0"/>
        <v>----</v>
      </c>
      <c r="I19" s="546"/>
      <c r="J19" s="83" t="str">
        <f t="shared" si="1"/>
        <v>----</v>
      </c>
    </row>
    <row r="20" spans="1:10">
      <c r="A20" s="102"/>
      <c r="B20" s="103"/>
      <c r="C20" s="87"/>
      <c r="D20" s="541"/>
      <c r="E20" s="551"/>
      <c r="F20" s="477" t="str">
        <f t="shared" si="2"/>
        <v>----</v>
      </c>
      <c r="G20" s="551"/>
      <c r="H20" s="477" t="str">
        <f t="shared" si="0"/>
        <v>----</v>
      </c>
      <c r="I20" s="546"/>
      <c r="J20" s="83" t="str">
        <f t="shared" si="1"/>
        <v>----</v>
      </c>
    </row>
    <row r="21" spans="1:10">
      <c r="A21" s="102"/>
      <c r="B21" s="103"/>
      <c r="C21" s="87"/>
      <c r="D21" s="541"/>
      <c r="E21" s="551"/>
      <c r="F21" s="477" t="str">
        <f t="shared" si="2"/>
        <v>----</v>
      </c>
      <c r="G21" s="551"/>
      <c r="H21" s="477" t="str">
        <f t="shared" si="0"/>
        <v>----</v>
      </c>
      <c r="I21" s="546"/>
      <c r="J21" s="83" t="str">
        <f t="shared" si="1"/>
        <v>----</v>
      </c>
    </row>
    <row r="22" spans="1:10">
      <c r="A22" s="102"/>
      <c r="B22" s="103"/>
      <c r="C22" s="87"/>
      <c r="D22" s="541"/>
      <c r="E22" s="551"/>
      <c r="F22" s="477" t="str">
        <f t="shared" si="2"/>
        <v>----</v>
      </c>
      <c r="G22" s="551"/>
      <c r="H22" s="477" t="str">
        <f t="shared" si="0"/>
        <v>----</v>
      </c>
      <c r="I22" s="546"/>
      <c r="J22" s="83" t="str">
        <f t="shared" si="1"/>
        <v>----</v>
      </c>
    </row>
    <row r="23" spans="1:10">
      <c r="A23" s="102"/>
      <c r="B23" s="103"/>
      <c r="C23" s="87"/>
      <c r="D23" s="541"/>
      <c r="E23" s="551"/>
      <c r="F23" s="477" t="str">
        <f t="shared" si="2"/>
        <v>----</v>
      </c>
      <c r="G23" s="551"/>
      <c r="H23" s="477" t="str">
        <f t="shared" si="0"/>
        <v>----</v>
      </c>
      <c r="I23" s="546"/>
      <c r="J23" s="83" t="str">
        <f t="shared" si="1"/>
        <v>----</v>
      </c>
    </row>
    <row r="24" spans="1:10">
      <c r="A24" s="116"/>
      <c r="B24" s="117"/>
      <c r="C24" s="118"/>
      <c r="D24" s="542"/>
      <c r="E24" s="552"/>
      <c r="F24" s="477" t="str">
        <f t="shared" si="2"/>
        <v>----</v>
      </c>
      <c r="G24" s="552"/>
      <c r="H24" s="477" t="str">
        <f t="shared" si="0"/>
        <v>----</v>
      </c>
      <c r="I24" s="547"/>
      <c r="J24" s="83" t="str">
        <f t="shared" si="1"/>
        <v>----</v>
      </c>
    </row>
    <row r="25" spans="1:10" ht="15.75" thickBot="1">
      <c r="A25" s="74"/>
      <c r="B25" s="75"/>
      <c r="C25" s="76"/>
      <c r="D25" s="543"/>
      <c r="E25" s="553"/>
      <c r="F25" s="481" t="str">
        <f t="shared" si="2"/>
        <v>----</v>
      </c>
      <c r="G25" s="553"/>
      <c r="H25" s="481" t="str">
        <f t="shared" si="0"/>
        <v>----</v>
      </c>
      <c r="I25" s="548"/>
      <c r="J25" s="77" t="str">
        <f t="shared" si="1"/>
        <v>----</v>
      </c>
    </row>
    <row r="26" spans="1:10" ht="15.75" thickBot="1">
      <c r="A26" s="27"/>
      <c r="B26" s="27"/>
      <c r="C26" s="28"/>
      <c r="D26" s="28"/>
      <c r="E26" s="444"/>
      <c r="F26" s="446">
        <f>SUM(F4:F25)</f>
        <v>3515.6699999999837</v>
      </c>
      <c r="G26" s="444"/>
      <c r="H26" s="446">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J23"/>
  <sheetViews>
    <sheetView workbookViewId="0">
      <selection activeCell="N21" sqref="N21"/>
    </sheetView>
  </sheetViews>
  <sheetFormatPr defaultRowHeight="15"/>
  <cols>
    <col min="2" max="2" width="22.5703125" bestFit="1" customWidth="1"/>
    <col min="3" max="3" width="12" bestFit="1" customWidth="1"/>
    <col min="4" max="4" width="12.5703125" customWidth="1"/>
    <col min="5" max="8" width="9.140625" style="437"/>
  </cols>
  <sheetData>
    <row r="1" spans="1:10" ht="15.75" thickBot="1">
      <c r="A1" s="932" t="s">
        <v>260</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69" thickBot="1">
      <c r="A3" s="940"/>
      <c r="B3" s="942"/>
      <c r="C3" s="942"/>
      <c r="D3" s="944"/>
      <c r="E3" s="465" t="s">
        <v>121</v>
      </c>
      <c r="F3" s="473" t="s">
        <v>705</v>
      </c>
      <c r="G3" s="465" t="s">
        <v>121</v>
      </c>
      <c r="H3" s="473" t="s">
        <v>705</v>
      </c>
      <c r="I3" s="483" t="s">
        <v>121</v>
      </c>
      <c r="J3" s="25" t="s">
        <v>705</v>
      </c>
    </row>
    <row r="4" spans="1:10">
      <c r="A4" s="70">
        <v>44124</v>
      </c>
      <c r="B4" s="71" t="s">
        <v>312</v>
      </c>
      <c r="C4" s="72">
        <v>1245346.1399999999</v>
      </c>
      <c r="D4" s="434">
        <v>835696.13</v>
      </c>
      <c r="E4" s="474"/>
      <c r="F4" s="475" t="str">
        <f>IF(ISBLANK(E4),"----",E4-$D4)</f>
        <v>----</v>
      </c>
      <c r="G4" s="474"/>
      <c r="H4" s="475" t="str">
        <f>IF(OR(G4="Complete",ISBLANK(G4)),"----",G4-$D4)</f>
        <v>----</v>
      </c>
      <c r="I4" s="484"/>
      <c r="J4" s="73" t="str">
        <f>IF(OR(I4="Complete",ISBLANK(I4)),"----",I4-$D4)</f>
        <v>----</v>
      </c>
    </row>
    <row r="5" spans="1:10">
      <c r="A5" s="88">
        <v>45489</v>
      </c>
      <c r="B5" s="453" t="s">
        <v>764</v>
      </c>
      <c r="C5" s="377">
        <v>1862765.5</v>
      </c>
      <c r="D5" s="573">
        <f>C5</f>
        <v>1862765.5</v>
      </c>
      <c r="E5" s="476"/>
      <c r="F5" s="477" t="str">
        <f t="shared" ref="F5:F22" si="0">IF(ISBLANK(E5),"----",E5-$D5)</f>
        <v>----</v>
      </c>
      <c r="G5" s="476"/>
      <c r="H5" s="477" t="str">
        <f>IF(OR(G5="Complete",ISBLANK(G5)),"----",G5-$D5)</f>
        <v>----</v>
      </c>
      <c r="I5" s="489"/>
      <c r="J5" s="83" t="str">
        <f>IF(OR(I5="Complete",ISBLANK(I5)),"----",I5-$D5)</f>
        <v>----</v>
      </c>
    </row>
    <row r="6" spans="1:10" s="437" customFormat="1">
      <c r="A6" s="454"/>
      <c r="B6" s="455"/>
      <c r="C6" s="451"/>
      <c r="D6" s="471"/>
      <c r="E6" s="478"/>
      <c r="F6" s="490" t="str">
        <f t="shared" ref="F6:F20" si="1">IF(ISBLANK(E6),"----",E6-$D6)</f>
        <v>----</v>
      </c>
      <c r="G6" s="478"/>
      <c r="H6" s="490" t="str">
        <f t="shared" ref="H6:H20" si="2">IF(OR(G6="Complete",ISBLANK(G6)),"----",G6-$D6)</f>
        <v>----</v>
      </c>
      <c r="I6" s="491"/>
      <c r="J6" s="456" t="str">
        <f t="shared" ref="J6:J20" si="3">IF(OR(I6="Complete",ISBLANK(I6)),"----",I6-$D6)</f>
        <v>----</v>
      </c>
    </row>
    <row r="7" spans="1:10" s="437" customFormat="1">
      <c r="A7" s="454"/>
      <c r="B7" s="455"/>
      <c r="C7" s="451"/>
      <c r="D7" s="471"/>
      <c r="E7" s="478"/>
      <c r="F7" s="490" t="str">
        <f t="shared" si="1"/>
        <v>----</v>
      </c>
      <c r="G7" s="478"/>
      <c r="H7" s="490" t="str">
        <f t="shared" si="2"/>
        <v>----</v>
      </c>
      <c r="I7" s="491"/>
      <c r="J7" s="456" t="str">
        <f t="shared" si="3"/>
        <v>----</v>
      </c>
    </row>
    <row r="8" spans="1:10" s="437" customFormat="1">
      <c r="A8" s="454"/>
      <c r="B8" s="455"/>
      <c r="C8" s="451"/>
      <c r="D8" s="471"/>
      <c r="E8" s="478"/>
      <c r="F8" s="490" t="str">
        <f t="shared" si="1"/>
        <v>----</v>
      </c>
      <c r="G8" s="478"/>
      <c r="H8" s="490" t="str">
        <f t="shared" si="2"/>
        <v>----</v>
      </c>
      <c r="I8" s="491"/>
      <c r="J8" s="456" t="str">
        <f t="shared" si="3"/>
        <v>----</v>
      </c>
    </row>
    <row r="9" spans="1:10" s="437" customFormat="1">
      <c r="A9" s="454"/>
      <c r="B9" s="455"/>
      <c r="C9" s="451"/>
      <c r="D9" s="471"/>
      <c r="E9" s="478"/>
      <c r="F9" s="490" t="str">
        <f t="shared" si="1"/>
        <v>----</v>
      </c>
      <c r="G9" s="478"/>
      <c r="H9" s="490" t="str">
        <f t="shared" si="2"/>
        <v>----</v>
      </c>
      <c r="I9" s="491"/>
      <c r="J9" s="456" t="str">
        <f t="shared" si="3"/>
        <v>----</v>
      </c>
    </row>
    <row r="10" spans="1:10" s="437" customFormat="1">
      <c r="A10" s="454"/>
      <c r="B10" s="455"/>
      <c r="C10" s="451"/>
      <c r="D10" s="471"/>
      <c r="E10" s="478"/>
      <c r="F10" s="490" t="str">
        <f t="shared" si="1"/>
        <v>----</v>
      </c>
      <c r="G10" s="478"/>
      <c r="H10" s="490" t="str">
        <f t="shared" si="2"/>
        <v>----</v>
      </c>
      <c r="I10" s="491"/>
      <c r="J10" s="456" t="str">
        <f t="shared" si="3"/>
        <v>----</v>
      </c>
    </row>
    <row r="11" spans="1:10" s="437" customFormat="1">
      <c r="A11" s="454"/>
      <c r="B11" s="455"/>
      <c r="C11" s="451"/>
      <c r="D11" s="471"/>
      <c r="E11" s="478"/>
      <c r="F11" s="490" t="str">
        <f t="shared" si="1"/>
        <v>----</v>
      </c>
      <c r="G11" s="478"/>
      <c r="H11" s="490" t="str">
        <f t="shared" si="2"/>
        <v>----</v>
      </c>
      <c r="I11" s="491"/>
      <c r="J11" s="456" t="str">
        <f t="shared" si="3"/>
        <v>----</v>
      </c>
    </row>
    <row r="12" spans="1:10" s="437" customFormat="1">
      <c r="A12" s="454"/>
      <c r="B12" s="455"/>
      <c r="C12" s="451"/>
      <c r="D12" s="471"/>
      <c r="E12" s="478"/>
      <c r="F12" s="490" t="str">
        <f t="shared" si="1"/>
        <v>----</v>
      </c>
      <c r="G12" s="478"/>
      <c r="H12" s="490" t="str">
        <f t="shared" si="2"/>
        <v>----</v>
      </c>
      <c r="I12" s="491"/>
      <c r="J12" s="456" t="str">
        <f t="shared" si="3"/>
        <v>----</v>
      </c>
    </row>
    <row r="13" spans="1:10" s="437" customFormat="1">
      <c r="A13" s="454"/>
      <c r="B13" s="455"/>
      <c r="C13" s="451"/>
      <c r="D13" s="471"/>
      <c r="E13" s="478"/>
      <c r="F13" s="490" t="str">
        <f t="shared" si="1"/>
        <v>----</v>
      </c>
      <c r="G13" s="478"/>
      <c r="H13" s="490" t="str">
        <f t="shared" si="2"/>
        <v>----</v>
      </c>
      <c r="I13" s="491"/>
      <c r="J13" s="456" t="str">
        <f t="shared" si="3"/>
        <v>----</v>
      </c>
    </row>
    <row r="14" spans="1:10" s="437" customFormat="1">
      <c r="A14" s="454"/>
      <c r="B14" s="455"/>
      <c r="C14" s="451"/>
      <c r="D14" s="471"/>
      <c r="E14" s="478"/>
      <c r="F14" s="490" t="str">
        <f t="shared" si="1"/>
        <v>----</v>
      </c>
      <c r="G14" s="478"/>
      <c r="H14" s="490" t="str">
        <f t="shared" si="2"/>
        <v>----</v>
      </c>
      <c r="I14" s="491"/>
      <c r="J14" s="456" t="str">
        <f t="shared" si="3"/>
        <v>----</v>
      </c>
    </row>
    <row r="15" spans="1:10" s="437" customFormat="1">
      <c r="A15" s="454"/>
      <c r="B15" s="455"/>
      <c r="C15" s="451"/>
      <c r="D15" s="471"/>
      <c r="E15" s="478"/>
      <c r="F15" s="490" t="str">
        <f t="shared" si="1"/>
        <v>----</v>
      </c>
      <c r="G15" s="478"/>
      <c r="H15" s="490" t="str">
        <f t="shared" si="2"/>
        <v>----</v>
      </c>
      <c r="I15" s="491"/>
      <c r="J15" s="456" t="str">
        <f t="shared" si="3"/>
        <v>----</v>
      </c>
    </row>
    <row r="16" spans="1:10" s="437" customFormat="1">
      <c r="A16" s="454"/>
      <c r="B16" s="455"/>
      <c r="C16" s="451"/>
      <c r="D16" s="471"/>
      <c r="E16" s="478"/>
      <c r="F16" s="490" t="str">
        <f t="shared" si="1"/>
        <v>----</v>
      </c>
      <c r="G16" s="478"/>
      <c r="H16" s="490" t="str">
        <f t="shared" si="2"/>
        <v>----</v>
      </c>
      <c r="I16" s="491"/>
      <c r="J16" s="456" t="str">
        <f t="shared" si="3"/>
        <v>----</v>
      </c>
    </row>
    <row r="17" spans="1:10" s="437" customFormat="1">
      <c r="A17" s="454"/>
      <c r="B17" s="455"/>
      <c r="C17" s="451"/>
      <c r="D17" s="471"/>
      <c r="E17" s="478"/>
      <c r="F17" s="490" t="str">
        <f t="shared" si="1"/>
        <v>----</v>
      </c>
      <c r="G17" s="478"/>
      <c r="H17" s="490" t="str">
        <f t="shared" si="2"/>
        <v>----</v>
      </c>
      <c r="I17" s="491"/>
      <c r="J17" s="456" t="str">
        <f t="shared" si="3"/>
        <v>----</v>
      </c>
    </row>
    <row r="18" spans="1:10" s="437" customFormat="1">
      <c r="A18" s="454"/>
      <c r="B18" s="455"/>
      <c r="C18" s="451"/>
      <c r="D18" s="471"/>
      <c r="E18" s="478"/>
      <c r="F18" s="490" t="str">
        <f t="shared" si="1"/>
        <v>----</v>
      </c>
      <c r="G18" s="478"/>
      <c r="H18" s="490" t="str">
        <f t="shared" si="2"/>
        <v>----</v>
      </c>
      <c r="I18" s="491"/>
      <c r="J18" s="456" t="str">
        <f t="shared" si="3"/>
        <v>----</v>
      </c>
    </row>
    <row r="19" spans="1:10" s="437" customFormat="1">
      <c r="A19" s="454"/>
      <c r="B19" s="455"/>
      <c r="C19" s="451"/>
      <c r="D19" s="471"/>
      <c r="E19" s="478"/>
      <c r="F19" s="490" t="str">
        <f t="shared" si="1"/>
        <v>----</v>
      </c>
      <c r="G19" s="478"/>
      <c r="H19" s="490" t="str">
        <f t="shared" si="2"/>
        <v>----</v>
      </c>
      <c r="I19" s="491"/>
      <c r="J19" s="456" t="str">
        <f t="shared" si="3"/>
        <v>----</v>
      </c>
    </row>
    <row r="20" spans="1:10" s="437" customFormat="1">
      <c r="A20" s="454"/>
      <c r="B20" s="455"/>
      <c r="C20" s="451"/>
      <c r="D20" s="471"/>
      <c r="E20" s="478"/>
      <c r="F20" s="490" t="str">
        <f t="shared" si="1"/>
        <v>----</v>
      </c>
      <c r="G20" s="478"/>
      <c r="H20" s="490" t="str">
        <f t="shared" si="2"/>
        <v>----</v>
      </c>
      <c r="I20" s="491"/>
      <c r="J20" s="456" t="str">
        <f t="shared" si="3"/>
        <v>----</v>
      </c>
    </row>
    <row r="21" spans="1:10">
      <c r="A21" s="457"/>
      <c r="B21" s="458"/>
      <c r="C21" s="459"/>
      <c r="D21" s="472"/>
      <c r="E21" s="479"/>
      <c r="F21" s="492" t="str">
        <f t="shared" si="0"/>
        <v>----</v>
      </c>
      <c r="G21" s="479"/>
      <c r="H21" s="492" t="str">
        <f>IF(OR(G21="Complete",ISBLANK(G21)),"----",G21-$D21)</f>
        <v>----</v>
      </c>
      <c r="I21" s="493"/>
      <c r="J21" s="460" t="str">
        <f>IF(OR(I21="Complete",ISBLANK(I21)),"----",I21-$D21)</f>
        <v>----</v>
      </c>
    </row>
    <row r="22" spans="1:10" ht="15.75" thickBot="1">
      <c r="A22" s="74"/>
      <c r="B22" s="75"/>
      <c r="C22" s="76"/>
      <c r="D22" s="435"/>
      <c r="E22" s="480"/>
      <c r="F22" s="481" t="str">
        <f t="shared" si="0"/>
        <v>----</v>
      </c>
      <c r="G22" s="480"/>
      <c r="H22" s="481" t="str">
        <f>IF(OR(G22="Complete",ISBLANK(G22)),"----",G22-$D22)</f>
        <v>----</v>
      </c>
      <c r="I22" s="486"/>
      <c r="J22" s="77" t="str">
        <f>IF(OR(I22="Complete",ISBLANK(I22)),"----",I22-$D22)</f>
        <v>----</v>
      </c>
    </row>
    <row r="23" spans="1:10" ht="15.75" thickBot="1">
      <c r="A23" s="27"/>
      <c r="B23" s="27"/>
      <c r="C23" s="28"/>
      <c r="D23" s="28"/>
      <c r="E23" s="444"/>
      <c r="F23" s="446">
        <f>SUM(F4:F22)</f>
        <v>0</v>
      </c>
      <c r="G23" s="444"/>
      <c r="H23" s="446">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7" customWidth="1"/>
    <col min="6" max="6" width="13.28515625" style="437" customWidth="1"/>
    <col min="7" max="7" width="12" style="437" bestFit="1" customWidth="1"/>
    <col min="8" max="8" width="15.140625" style="437" customWidth="1"/>
    <col min="9" max="9" width="12" bestFit="1" customWidth="1"/>
    <col min="10" max="10" width="15.140625" customWidth="1"/>
  </cols>
  <sheetData>
    <row r="1" spans="1:10" ht="15.75" thickBot="1">
      <c r="A1" s="932" t="s">
        <v>122</v>
      </c>
      <c r="B1" s="933"/>
      <c r="C1" s="933"/>
      <c r="D1" s="933"/>
      <c r="E1" s="933"/>
      <c r="F1" s="933"/>
      <c r="G1" s="933"/>
      <c r="H1" s="933"/>
      <c r="I1" s="933"/>
      <c r="J1" s="934"/>
    </row>
    <row r="2" spans="1:10" s="437" customFormat="1">
      <c r="A2" s="939" t="s">
        <v>110</v>
      </c>
      <c r="B2" s="941" t="s">
        <v>111</v>
      </c>
      <c r="C2" s="941" t="s">
        <v>112</v>
      </c>
      <c r="D2" s="943" t="s">
        <v>247</v>
      </c>
      <c r="E2" s="937" t="s">
        <v>702</v>
      </c>
      <c r="F2" s="938"/>
      <c r="G2" s="945" t="s">
        <v>703</v>
      </c>
      <c r="H2" s="946"/>
      <c r="I2" s="935" t="s">
        <v>801</v>
      </c>
      <c r="J2" s="936"/>
    </row>
    <row r="3" spans="1:10" ht="46.5" thickBot="1">
      <c r="A3" s="940"/>
      <c r="B3" s="942"/>
      <c r="C3" s="942"/>
      <c r="D3" s="944"/>
      <c r="E3" s="465" t="s">
        <v>121</v>
      </c>
      <c r="F3" s="473" t="s">
        <v>705</v>
      </c>
      <c r="G3" s="465" t="s">
        <v>121</v>
      </c>
      <c r="H3" s="473" t="s">
        <v>705</v>
      </c>
      <c r="I3" s="483" t="s">
        <v>121</v>
      </c>
      <c r="J3" s="443" t="s">
        <v>705</v>
      </c>
    </row>
    <row r="4" spans="1:10">
      <c r="A4" s="70">
        <v>44306</v>
      </c>
      <c r="B4" s="71" t="s">
        <v>416</v>
      </c>
      <c r="C4" s="72">
        <v>544955.75</v>
      </c>
      <c r="D4" s="434">
        <f>C4</f>
        <v>544955.75</v>
      </c>
      <c r="E4" s="474">
        <v>544083.06999999995</v>
      </c>
      <c r="F4" s="475">
        <f>IF(ISBLANK(E4),"----",E4-D4)</f>
        <v>-872.68000000005122</v>
      </c>
      <c r="G4" s="466" t="s">
        <v>704</v>
      </c>
      <c r="H4" s="673" t="str">
        <f>IF(OR(G4="Complete",ISBLANK(G4)),"----",G4-$D4)</f>
        <v>----</v>
      </c>
      <c r="I4" s="671" t="s">
        <v>704</v>
      </c>
      <c r="J4" s="463" t="str">
        <f>IF(OR(I4="Complete",ISBLANK(I4)),"----",I4-$D4)</f>
        <v>----</v>
      </c>
    </row>
    <row r="5" spans="1:10">
      <c r="A5" s="88">
        <v>44880</v>
      </c>
      <c r="B5" s="101" t="s">
        <v>582</v>
      </c>
      <c r="C5" s="82">
        <v>1223831.8700000001</v>
      </c>
      <c r="D5" s="436">
        <f>C5</f>
        <v>1223831.8700000001</v>
      </c>
      <c r="E5" s="476"/>
      <c r="F5" s="477" t="str">
        <f t="shared" ref="F5:F22" si="0">IF(ISBLANK(E5),"----",E5-D5)</f>
        <v>----</v>
      </c>
      <c r="G5" s="467">
        <v>1248346.27</v>
      </c>
      <c r="H5" s="538">
        <f t="shared" ref="H5:H22" si="1">IF(OR(G5="Complete",ISBLANK(G5)),"----",G5-$D5)</f>
        <v>24514.399999999907</v>
      </c>
      <c r="I5" s="537" t="s">
        <v>704</v>
      </c>
      <c r="J5" s="461" t="str">
        <f t="shared" ref="J5:J22" si="2">IF(OR(I5="Complete",ISBLANK(I5)),"----",I5-$D5)</f>
        <v>----</v>
      </c>
    </row>
    <row r="6" spans="1:10">
      <c r="A6" s="102"/>
      <c r="B6" s="103"/>
      <c r="C6" s="87"/>
      <c r="D6" s="471"/>
      <c r="E6" s="478"/>
      <c r="F6" s="477" t="str">
        <f t="shared" si="0"/>
        <v>----</v>
      </c>
      <c r="G6" s="468"/>
      <c r="H6" s="538" t="str">
        <f t="shared" si="1"/>
        <v>----</v>
      </c>
      <c r="I6" s="501"/>
      <c r="J6" s="461" t="str">
        <f t="shared" si="2"/>
        <v>----</v>
      </c>
    </row>
    <row r="7" spans="1:10">
      <c r="A7" s="102"/>
      <c r="B7" s="103"/>
      <c r="C7" s="87"/>
      <c r="D7" s="471"/>
      <c r="E7" s="478"/>
      <c r="F7" s="477" t="str">
        <f t="shared" si="0"/>
        <v>----</v>
      </c>
      <c r="G7" s="468"/>
      <c r="H7" s="538" t="str">
        <f t="shared" si="1"/>
        <v>----</v>
      </c>
      <c r="I7" s="501"/>
      <c r="J7" s="461" t="str">
        <f t="shared" si="2"/>
        <v>----</v>
      </c>
    </row>
    <row r="8" spans="1:10">
      <c r="A8" s="102"/>
      <c r="B8" s="103"/>
      <c r="C8" s="87"/>
      <c r="D8" s="471"/>
      <c r="E8" s="478"/>
      <c r="F8" s="477" t="str">
        <f t="shared" si="0"/>
        <v>----</v>
      </c>
      <c r="G8" s="468"/>
      <c r="H8" s="538" t="str">
        <f t="shared" si="1"/>
        <v>----</v>
      </c>
      <c r="I8" s="501"/>
      <c r="J8" s="461" t="str">
        <f t="shared" si="2"/>
        <v>----</v>
      </c>
    </row>
    <row r="9" spans="1:10">
      <c r="A9" s="102"/>
      <c r="B9" s="103"/>
      <c r="C9" s="87"/>
      <c r="D9" s="471"/>
      <c r="E9" s="478"/>
      <c r="F9" s="477" t="str">
        <f t="shared" si="0"/>
        <v>----</v>
      </c>
      <c r="G9" s="468"/>
      <c r="H9" s="538" t="str">
        <f t="shared" si="1"/>
        <v>----</v>
      </c>
      <c r="I9" s="501"/>
      <c r="J9" s="461" t="str">
        <f t="shared" si="2"/>
        <v>----</v>
      </c>
    </row>
    <row r="10" spans="1:10">
      <c r="A10" s="102"/>
      <c r="B10" s="103"/>
      <c r="C10" s="87"/>
      <c r="D10" s="471"/>
      <c r="E10" s="478"/>
      <c r="F10" s="477" t="str">
        <f t="shared" si="0"/>
        <v>----</v>
      </c>
      <c r="G10" s="468"/>
      <c r="H10" s="538" t="str">
        <f t="shared" si="1"/>
        <v>----</v>
      </c>
      <c r="I10" s="501"/>
      <c r="J10" s="461" t="str">
        <f t="shared" si="2"/>
        <v>----</v>
      </c>
    </row>
    <row r="11" spans="1:10">
      <c r="A11" s="102"/>
      <c r="B11" s="103"/>
      <c r="C11" s="87"/>
      <c r="D11" s="471"/>
      <c r="E11" s="478"/>
      <c r="F11" s="477" t="str">
        <f t="shared" si="0"/>
        <v>----</v>
      </c>
      <c r="G11" s="468"/>
      <c r="H11" s="538" t="str">
        <f t="shared" si="1"/>
        <v>----</v>
      </c>
      <c r="I11" s="501"/>
      <c r="J11" s="461" t="str">
        <f t="shared" si="2"/>
        <v>----</v>
      </c>
    </row>
    <row r="12" spans="1:10">
      <c r="A12" s="102"/>
      <c r="B12" s="103"/>
      <c r="C12" s="87"/>
      <c r="D12" s="471"/>
      <c r="E12" s="478"/>
      <c r="F12" s="477" t="str">
        <f t="shared" si="0"/>
        <v>----</v>
      </c>
      <c r="G12" s="468"/>
      <c r="H12" s="538" t="str">
        <f t="shared" si="1"/>
        <v>----</v>
      </c>
      <c r="I12" s="501"/>
      <c r="J12" s="461" t="str">
        <f t="shared" si="2"/>
        <v>----</v>
      </c>
    </row>
    <row r="13" spans="1:10">
      <c r="A13" s="102"/>
      <c r="B13" s="103"/>
      <c r="C13" s="87"/>
      <c r="D13" s="471"/>
      <c r="E13" s="478"/>
      <c r="F13" s="477" t="str">
        <f t="shared" si="0"/>
        <v>----</v>
      </c>
      <c r="G13" s="468"/>
      <c r="H13" s="538" t="str">
        <f t="shared" si="1"/>
        <v>----</v>
      </c>
      <c r="I13" s="501"/>
      <c r="J13" s="461" t="str">
        <f t="shared" si="2"/>
        <v>----</v>
      </c>
    </row>
    <row r="14" spans="1:10">
      <c r="A14" s="102"/>
      <c r="B14" s="103"/>
      <c r="C14" s="87"/>
      <c r="D14" s="471"/>
      <c r="E14" s="478"/>
      <c r="F14" s="477" t="str">
        <f t="shared" si="0"/>
        <v>----</v>
      </c>
      <c r="G14" s="468"/>
      <c r="H14" s="538" t="str">
        <f t="shared" si="1"/>
        <v>----</v>
      </c>
      <c r="I14" s="501"/>
      <c r="J14" s="461" t="str">
        <f t="shared" si="2"/>
        <v>----</v>
      </c>
    </row>
    <row r="15" spans="1:10">
      <c r="A15" s="102"/>
      <c r="B15" s="103"/>
      <c r="C15" s="87"/>
      <c r="D15" s="471"/>
      <c r="E15" s="478"/>
      <c r="F15" s="477" t="str">
        <f t="shared" si="0"/>
        <v>----</v>
      </c>
      <c r="G15" s="468"/>
      <c r="H15" s="538" t="str">
        <f t="shared" si="1"/>
        <v>----</v>
      </c>
      <c r="I15" s="501"/>
      <c r="J15" s="461" t="str">
        <f t="shared" si="2"/>
        <v>----</v>
      </c>
    </row>
    <row r="16" spans="1:10">
      <c r="A16" s="102"/>
      <c r="B16" s="103"/>
      <c r="C16" s="87"/>
      <c r="D16" s="471"/>
      <c r="E16" s="478"/>
      <c r="F16" s="477" t="str">
        <f t="shared" si="0"/>
        <v>----</v>
      </c>
      <c r="G16" s="468"/>
      <c r="H16" s="538" t="str">
        <f t="shared" si="1"/>
        <v>----</v>
      </c>
      <c r="I16" s="501"/>
      <c r="J16" s="461" t="str">
        <f t="shared" si="2"/>
        <v>----</v>
      </c>
    </row>
    <row r="17" spans="1:11">
      <c r="A17" s="102"/>
      <c r="B17" s="103"/>
      <c r="C17" s="87"/>
      <c r="D17" s="471"/>
      <c r="E17" s="478"/>
      <c r="F17" s="477" t="str">
        <f t="shared" si="0"/>
        <v>----</v>
      </c>
      <c r="G17" s="468"/>
      <c r="H17" s="538" t="str">
        <f t="shared" si="1"/>
        <v>----</v>
      </c>
      <c r="I17" s="501"/>
      <c r="J17" s="461" t="str">
        <f t="shared" si="2"/>
        <v>----</v>
      </c>
    </row>
    <row r="18" spans="1:11">
      <c r="A18" s="102"/>
      <c r="B18" s="103"/>
      <c r="C18" s="87"/>
      <c r="D18" s="471"/>
      <c r="E18" s="478"/>
      <c r="F18" s="477" t="str">
        <f t="shared" si="0"/>
        <v>----</v>
      </c>
      <c r="G18" s="468"/>
      <c r="H18" s="538" t="str">
        <f t="shared" si="1"/>
        <v>----</v>
      </c>
      <c r="I18" s="501"/>
      <c r="J18" s="461" t="str">
        <f t="shared" si="2"/>
        <v>----</v>
      </c>
    </row>
    <row r="19" spans="1:11">
      <c r="A19" s="102"/>
      <c r="B19" s="103"/>
      <c r="C19" s="87"/>
      <c r="D19" s="471"/>
      <c r="E19" s="478"/>
      <c r="F19" s="477" t="str">
        <f t="shared" si="0"/>
        <v>----</v>
      </c>
      <c r="G19" s="468"/>
      <c r="H19" s="538" t="str">
        <f t="shared" si="1"/>
        <v>----</v>
      </c>
      <c r="I19" s="501"/>
      <c r="J19" s="461" t="str">
        <f t="shared" si="2"/>
        <v>----</v>
      </c>
    </row>
    <row r="20" spans="1:11">
      <c r="A20" s="102"/>
      <c r="B20" s="103"/>
      <c r="C20" s="87"/>
      <c r="D20" s="471"/>
      <c r="E20" s="478"/>
      <c r="F20" s="477" t="str">
        <f t="shared" si="0"/>
        <v>----</v>
      </c>
      <c r="G20" s="468"/>
      <c r="H20" s="538" t="str">
        <f t="shared" si="1"/>
        <v>----</v>
      </c>
      <c r="I20" s="501"/>
      <c r="J20" s="461" t="str">
        <f t="shared" si="2"/>
        <v>----</v>
      </c>
    </row>
    <row r="21" spans="1:11">
      <c r="A21" s="116"/>
      <c r="B21" s="117"/>
      <c r="C21" s="118"/>
      <c r="D21" s="472"/>
      <c r="E21" s="479"/>
      <c r="F21" s="477" t="str">
        <f t="shared" si="0"/>
        <v>----</v>
      </c>
      <c r="G21" s="469"/>
      <c r="H21" s="538" t="str">
        <f t="shared" si="1"/>
        <v>----</v>
      </c>
      <c r="I21" s="503"/>
      <c r="J21" s="461" t="str">
        <f t="shared" si="2"/>
        <v>----</v>
      </c>
    </row>
    <row r="22" spans="1:11" ht="15.75" thickBot="1">
      <c r="A22" s="74"/>
      <c r="B22" s="75"/>
      <c r="C22" s="76"/>
      <c r="D22" s="435"/>
      <c r="E22" s="480"/>
      <c r="F22" s="481" t="str">
        <f t="shared" si="0"/>
        <v>----</v>
      </c>
      <c r="G22" s="470"/>
      <c r="H22" s="674" t="str">
        <f t="shared" si="1"/>
        <v>----</v>
      </c>
      <c r="I22" s="672"/>
      <c r="J22" s="464" t="str">
        <f t="shared" si="2"/>
        <v>----</v>
      </c>
    </row>
    <row r="23" spans="1:11" ht="15.75" thickBot="1">
      <c r="A23" s="27"/>
      <c r="B23" s="27"/>
      <c r="C23" s="28"/>
      <c r="D23" s="28"/>
      <c r="E23" s="444"/>
      <c r="F23" s="446">
        <f>SUM(F4:F22)</f>
        <v>-872.68000000005122</v>
      </c>
      <c r="G23" s="444"/>
      <c r="H23" s="446">
        <f>SUM(H4:H22)</f>
        <v>24514.399999999907</v>
      </c>
      <c r="I23" s="28"/>
      <c r="J23" s="69">
        <f>SUM(J4:J22)</f>
        <v>0</v>
      </c>
    </row>
    <row r="24" spans="1:11">
      <c r="A24" s="17"/>
      <c r="B24" s="17"/>
      <c r="C24" s="18"/>
      <c r="D24" s="18"/>
      <c r="E24" s="438"/>
      <c r="F24" s="438"/>
      <c r="G24" s="438"/>
      <c r="H24" s="438"/>
      <c r="I24" s="18"/>
      <c r="J24" s="18"/>
      <c r="K24" s="17"/>
    </row>
    <row r="25" spans="1:11">
      <c r="A25" s="17"/>
      <c r="B25" s="17"/>
      <c r="C25" s="18"/>
      <c r="D25" s="18"/>
      <c r="E25" s="438"/>
      <c r="F25" s="438"/>
      <c r="G25" s="438"/>
      <c r="H25" s="438"/>
      <c r="I25" s="18"/>
      <c r="J25" s="18"/>
      <c r="K25" s="17"/>
    </row>
    <row r="26" spans="1:11">
      <c r="A26" s="17"/>
      <c r="B26" s="17"/>
      <c r="C26" s="18"/>
      <c r="D26" s="18"/>
      <c r="E26" s="438"/>
      <c r="F26" s="438"/>
      <c r="G26" s="438"/>
      <c r="H26" s="438"/>
      <c r="I26" s="18"/>
      <c r="J26" s="18"/>
      <c r="K26" s="17"/>
    </row>
    <row r="27" spans="1:11">
      <c r="A27" s="17"/>
      <c r="B27" s="17"/>
      <c r="C27" s="18"/>
      <c r="D27" s="18"/>
      <c r="E27" s="438"/>
      <c r="F27" s="438"/>
      <c r="G27" s="438"/>
      <c r="H27" s="438"/>
      <c r="I27" s="18"/>
      <c r="J27" s="18"/>
      <c r="K27" s="17"/>
    </row>
    <row r="28" spans="1:11">
      <c r="A28" s="17"/>
      <c r="B28" s="17"/>
      <c r="C28" s="18"/>
      <c r="D28" s="18"/>
      <c r="E28" s="438"/>
      <c r="F28" s="438"/>
      <c r="G28" s="438"/>
      <c r="H28" s="438"/>
      <c r="I28" s="18"/>
      <c r="J28" s="18"/>
      <c r="K28" s="17"/>
    </row>
    <row r="29" spans="1:11">
      <c r="A29" s="17"/>
      <c r="B29" s="17"/>
      <c r="C29" s="18"/>
      <c r="D29" s="18"/>
      <c r="E29" s="438"/>
      <c r="F29" s="438"/>
      <c r="G29" s="438"/>
      <c r="H29" s="438"/>
      <c r="I29" s="18"/>
      <c r="J29" s="18"/>
      <c r="K29" s="17"/>
    </row>
    <row r="30" spans="1:11">
      <c r="A30" s="17"/>
      <c r="B30" s="17"/>
      <c r="C30" s="18"/>
      <c r="D30" s="18"/>
      <c r="E30" s="438"/>
      <c r="F30" s="438"/>
      <c r="G30" s="438"/>
      <c r="H30" s="438"/>
      <c r="I30" s="18"/>
      <c r="J30" s="18"/>
      <c r="K30" s="17"/>
    </row>
    <row r="31" spans="1:11">
      <c r="A31" s="17"/>
      <c r="B31" s="17"/>
      <c r="C31" s="18"/>
      <c r="D31" s="18"/>
      <c r="E31" s="438"/>
      <c r="F31" s="438"/>
      <c r="G31" s="438"/>
      <c r="H31" s="438"/>
      <c r="I31" s="18"/>
      <c r="J31" s="18"/>
      <c r="K31" s="17"/>
    </row>
    <row r="32" spans="1:11">
      <c r="A32" s="17"/>
      <c r="B32" s="17"/>
      <c r="C32" s="18"/>
      <c r="D32" s="18"/>
      <c r="E32" s="438"/>
      <c r="F32" s="438"/>
      <c r="G32" s="438"/>
      <c r="H32" s="438"/>
      <c r="I32" s="18"/>
      <c r="J32" s="18"/>
      <c r="K32" s="17"/>
    </row>
    <row r="33" spans="1:11">
      <c r="A33" s="17"/>
      <c r="B33" s="17"/>
      <c r="C33" s="18"/>
      <c r="D33" s="18"/>
      <c r="E33" s="438"/>
      <c r="F33" s="438"/>
      <c r="G33" s="438"/>
      <c r="H33" s="438"/>
      <c r="I33" s="18"/>
      <c r="J33" s="18"/>
      <c r="K33" s="17"/>
    </row>
    <row r="34" spans="1:11">
      <c r="A34" s="17"/>
      <c r="B34" s="17"/>
      <c r="C34" s="18"/>
      <c r="D34" s="18"/>
      <c r="E34" s="438"/>
      <c r="F34" s="438"/>
      <c r="G34" s="438"/>
      <c r="H34" s="438"/>
      <c r="I34" s="18"/>
      <c r="J34" s="18"/>
      <c r="K34" s="17"/>
    </row>
    <row r="35" spans="1:11">
      <c r="A35" s="17"/>
      <c r="B35" s="17"/>
      <c r="C35" s="18"/>
      <c r="D35" s="18"/>
      <c r="E35" s="438"/>
      <c r="F35" s="438"/>
      <c r="G35" s="438"/>
      <c r="H35" s="438"/>
      <c r="I35" s="18"/>
      <c r="J35" s="18"/>
      <c r="K35" s="17"/>
    </row>
    <row r="36" spans="1:11">
      <c r="A36" s="17"/>
      <c r="B36" s="17"/>
      <c r="C36" s="18"/>
      <c r="D36" s="18"/>
      <c r="E36" s="438"/>
      <c r="F36" s="438"/>
      <c r="G36" s="438"/>
      <c r="H36" s="438"/>
      <c r="I36" s="18"/>
      <c r="J36" s="18"/>
      <c r="K36" s="17"/>
    </row>
    <row r="37" spans="1:11">
      <c r="A37" s="17"/>
      <c r="B37" s="17"/>
      <c r="C37" s="18"/>
      <c r="D37" s="18"/>
      <c r="E37" s="438"/>
      <c r="F37" s="438"/>
      <c r="G37" s="438"/>
      <c r="H37" s="438"/>
      <c r="I37" s="18"/>
      <c r="J37" s="18"/>
      <c r="K37" s="17"/>
    </row>
    <row r="38" spans="1:11">
      <c r="C38" s="19"/>
      <c r="D38" s="19"/>
      <c r="E38" s="439"/>
      <c r="F38" s="439"/>
      <c r="G38" s="439"/>
      <c r="H38" s="439"/>
      <c r="I38" s="19"/>
      <c r="J38" s="19"/>
    </row>
    <row r="39" spans="1:11">
      <c r="C39" s="19"/>
      <c r="D39" s="19"/>
      <c r="E39" s="439"/>
      <c r="F39" s="439"/>
      <c r="G39" s="439"/>
      <c r="H39" s="439"/>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K7" sqref="K7"/>
    </sheetView>
  </sheetViews>
  <sheetFormatPr defaultRowHeight="15"/>
  <cols>
    <col min="2" max="2" width="18.28515625" bestFit="1" customWidth="1"/>
    <col min="3" max="3" width="12.5703125" bestFit="1" customWidth="1"/>
    <col min="4" max="4" width="11.42578125" bestFit="1" customWidth="1"/>
    <col min="5" max="8" width="9.140625" style="437"/>
  </cols>
  <sheetData>
    <row r="1" spans="1:11" ht="15.75" thickBot="1">
      <c r="A1" s="932" t="s">
        <v>261</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69" thickBot="1">
      <c r="A3" s="940"/>
      <c r="B3" s="942"/>
      <c r="C3" s="942"/>
      <c r="D3" s="944"/>
      <c r="E3" s="465" t="s">
        <v>121</v>
      </c>
      <c r="F3" s="473" t="s">
        <v>705</v>
      </c>
      <c r="G3" s="465" t="s">
        <v>121</v>
      </c>
      <c r="H3" s="473" t="s">
        <v>705</v>
      </c>
      <c r="I3" s="483" t="s">
        <v>121</v>
      </c>
      <c r="J3" s="25" t="s">
        <v>705</v>
      </c>
    </row>
    <row r="4" spans="1:11">
      <c r="A4" s="401">
        <v>45251</v>
      </c>
      <c r="B4" s="402" t="s">
        <v>681</v>
      </c>
      <c r="C4" s="394">
        <v>480692.89</v>
      </c>
      <c r="D4" s="554">
        <f>C4</f>
        <v>480692.89</v>
      </c>
      <c r="E4" s="474"/>
      <c r="F4" s="475" t="str">
        <f>IF(ISBLANK(E4),"----",E4-$D4)</f>
        <v>----</v>
      </c>
      <c r="G4" s="474"/>
      <c r="H4" s="475" t="str">
        <f t="shared" ref="H4:H17" si="0">IF(OR(G4="Complete",ISBLANK(G4)),"----",G4-$D4)</f>
        <v>----</v>
      </c>
      <c r="I4" s="484"/>
      <c r="J4" s="73" t="str">
        <f t="shared" ref="J4:J17" si="1">IF(OR(I4="Complete",ISBLANK(I4)),"----",I4-$D4)</f>
        <v>----</v>
      </c>
    </row>
    <row r="5" spans="1:11" s="400" customFormat="1">
      <c r="A5" s="405">
        <v>45489</v>
      </c>
      <c r="B5" s="453" t="s">
        <v>765</v>
      </c>
      <c r="C5" s="377">
        <v>2088602.35</v>
      </c>
      <c r="D5" s="573">
        <f>C5</f>
        <v>2088602.35</v>
      </c>
      <c r="E5" s="476"/>
      <c r="F5" s="477" t="str">
        <f t="shared" ref="F5:F17" si="2">IF(ISBLANK(E5),"----",E5-$D5)</f>
        <v>----</v>
      </c>
      <c r="G5" s="476"/>
      <c r="H5" s="477" t="str">
        <f t="shared" si="0"/>
        <v>----</v>
      </c>
      <c r="I5" s="489"/>
      <c r="J5" s="404" t="str">
        <f t="shared" si="1"/>
        <v>----</v>
      </c>
    </row>
    <row r="6" spans="1:11" s="400" customFormat="1">
      <c r="A6" s="405">
        <v>45734</v>
      </c>
      <c r="B6" s="714" t="s">
        <v>862</v>
      </c>
      <c r="C6" s="377">
        <v>855770.56</v>
      </c>
      <c r="D6" s="573">
        <f>C6-20000</f>
        <v>835770.56</v>
      </c>
      <c r="E6" s="476"/>
      <c r="F6" s="477" t="str">
        <f t="shared" si="2"/>
        <v>----</v>
      </c>
      <c r="G6" s="476"/>
      <c r="H6" s="477" t="str">
        <f t="shared" si="0"/>
        <v>----</v>
      </c>
      <c r="I6" s="489"/>
      <c r="J6" s="404" t="str">
        <f t="shared" si="1"/>
        <v>----</v>
      </c>
      <c r="K6" s="400" t="s">
        <v>863</v>
      </c>
    </row>
    <row r="7" spans="1:11" s="400" customFormat="1">
      <c r="A7" s="405"/>
      <c r="B7" s="406"/>
      <c r="C7" s="403"/>
      <c r="D7" s="436"/>
      <c r="E7" s="476"/>
      <c r="F7" s="477" t="str">
        <f t="shared" si="2"/>
        <v>----</v>
      </c>
      <c r="G7" s="476"/>
      <c r="H7" s="477" t="str">
        <f t="shared" si="0"/>
        <v>----</v>
      </c>
      <c r="I7" s="489"/>
      <c r="J7" s="404" t="str">
        <f t="shared" si="1"/>
        <v>----</v>
      </c>
    </row>
    <row r="8" spans="1:11" s="400" customFormat="1">
      <c r="A8" s="405"/>
      <c r="B8" s="406"/>
      <c r="C8" s="403"/>
      <c r="D8" s="436"/>
      <c r="E8" s="476"/>
      <c r="F8" s="477" t="str">
        <f t="shared" si="2"/>
        <v>----</v>
      </c>
      <c r="G8" s="476"/>
      <c r="H8" s="477" t="str">
        <f t="shared" si="0"/>
        <v>----</v>
      </c>
      <c r="I8" s="489"/>
      <c r="J8" s="404" t="str">
        <f t="shared" si="1"/>
        <v>----</v>
      </c>
    </row>
    <row r="9" spans="1:11" s="400" customFormat="1">
      <c r="A9" s="405"/>
      <c r="B9" s="406"/>
      <c r="C9" s="403"/>
      <c r="D9" s="436"/>
      <c r="E9" s="476"/>
      <c r="F9" s="477" t="str">
        <f t="shared" si="2"/>
        <v>----</v>
      </c>
      <c r="G9" s="476"/>
      <c r="H9" s="477" t="str">
        <f t="shared" si="0"/>
        <v>----</v>
      </c>
      <c r="I9" s="489"/>
      <c r="J9" s="404" t="str">
        <f t="shared" si="1"/>
        <v>----</v>
      </c>
    </row>
    <row r="10" spans="1:11" s="400" customFormat="1">
      <c r="A10" s="405"/>
      <c r="B10" s="406"/>
      <c r="C10" s="403"/>
      <c r="D10" s="436"/>
      <c r="E10" s="476"/>
      <c r="F10" s="477" t="str">
        <f t="shared" si="2"/>
        <v>----</v>
      </c>
      <c r="G10" s="476"/>
      <c r="H10" s="477" t="str">
        <f t="shared" si="0"/>
        <v>----</v>
      </c>
      <c r="I10" s="489"/>
      <c r="J10" s="404" t="str">
        <f t="shared" si="1"/>
        <v>----</v>
      </c>
    </row>
    <row r="11" spans="1:11" s="400" customFormat="1">
      <c r="A11" s="405"/>
      <c r="B11" s="406"/>
      <c r="C11" s="403"/>
      <c r="D11" s="436"/>
      <c r="E11" s="476"/>
      <c r="F11" s="477" t="str">
        <f t="shared" si="2"/>
        <v>----</v>
      </c>
      <c r="G11" s="476"/>
      <c r="H11" s="477" t="str">
        <f t="shared" si="0"/>
        <v>----</v>
      </c>
      <c r="I11" s="489"/>
      <c r="J11" s="404" t="str">
        <f t="shared" si="1"/>
        <v>----</v>
      </c>
    </row>
    <row r="12" spans="1:11" s="400" customFormat="1">
      <c r="A12" s="405"/>
      <c r="B12" s="406"/>
      <c r="C12" s="403"/>
      <c r="D12" s="436"/>
      <c r="E12" s="476"/>
      <c r="F12" s="477" t="str">
        <f t="shared" si="2"/>
        <v>----</v>
      </c>
      <c r="G12" s="476"/>
      <c r="H12" s="477" t="str">
        <f t="shared" si="0"/>
        <v>----</v>
      </c>
      <c r="I12" s="489"/>
      <c r="J12" s="404" t="str">
        <f t="shared" si="1"/>
        <v>----</v>
      </c>
    </row>
    <row r="13" spans="1:11" s="400" customFormat="1">
      <c r="A13" s="405"/>
      <c r="B13" s="406"/>
      <c r="C13" s="403"/>
      <c r="D13" s="436"/>
      <c r="E13" s="476"/>
      <c r="F13" s="477" t="str">
        <f t="shared" si="2"/>
        <v>----</v>
      </c>
      <c r="G13" s="476"/>
      <c r="H13" s="477" t="str">
        <f t="shared" si="0"/>
        <v>----</v>
      </c>
      <c r="I13" s="489"/>
      <c r="J13" s="404" t="str">
        <f t="shared" si="1"/>
        <v>----</v>
      </c>
    </row>
    <row r="14" spans="1:11" s="400" customFormat="1">
      <c r="A14" s="405"/>
      <c r="B14" s="406"/>
      <c r="C14" s="403"/>
      <c r="D14" s="436"/>
      <c r="E14" s="476"/>
      <c r="F14" s="477" t="str">
        <f t="shared" si="2"/>
        <v>----</v>
      </c>
      <c r="G14" s="476"/>
      <c r="H14" s="477" t="str">
        <f t="shared" si="0"/>
        <v>----</v>
      </c>
      <c r="I14" s="489"/>
      <c r="J14" s="404" t="str">
        <f t="shared" si="1"/>
        <v>----</v>
      </c>
    </row>
    <row r="15" spans="1:11">
      <c r="A15" s="88"/>
      <c r="B15" s="101"/>
      <c r="C15" s="82"/>
      <c r="D15" s="436"/>
      <c r="E15" s="476"/>
      <c r="F15" s="477" t="str">
        <f t="shared" si="2"/>
        <v>----</v>
      </c>
      <c r="G15" s="476"/>
      <c r="H15" s="477" t="str">
        <f t="shared" si="0"/>
        <v>----</v>
      </c>
      <c r="I15" s="489"/>
      <c r="J15" s="83" t="str">
        <f t="shared" si="1"/>
        <v>----</v>
      </c>
    </row>
    <row r="16" spans="1:11">
      <c r="A16" s="91"/>
      <c r="B16" s="92"/>
      <c r="C16" s="84"/>
      <c r="D16" s="482"/>
      <c r="E16" s="487"/>
      <c r="F16" s="488" t="str">
        <f t="shared" si="2"/>
        <v>----</v>
      </c>
      <c r="G16" s="487"/>
      <c r="H16" s="488" t="str">
        <f t="shared" si="0"/>
        <v>----</v>
      </c>
      <c r="I16" s="485"/>
      <c r="J16" s="85" t="str">
        <f t="shared" si="1"/>
        <v>----</v>
      </c>
    </row>
    <row r="17" spans="1:10" ht="15.75" thickBot="1">
      <c r="A17" s="74"/>
      <c r="B17" s="75"/>
      <c r="C17" s="76"/>
      <c r="D17" s="435"/>
      <c r="E17" s="480"/>
      <c r="F17" s="481" t="str">
        <f t="shared" si="2"/>
        <v>----</v>
      </c>
      <c r="G17" s="480"/>
      <c r="H17" s="481" t="str">
        <f t="shared" si="0"/>
        <v>----</v>
      </c>
      <c r="I17" s="486"/>
      <c r="J17" s="77" t="str">
        <f t="shared" si="1"/>
        <v>----</v>
      </c>
    </row>
    <row r="18" spans="1:10" ht="15.75" thickBot="1">
      <c r="A18" s="27"/>
      <c r="B18" s="27"/>
      <c r="C18" s="28"/>
      <c r="D18" s="28"/>
      <c r="E18" s="444"/>
      <c r="F18" s="446">
        <f>SUM(F4:F17)</f>
        <v>0</v>
      </c>
      <c r="G18" s="444"/>
      <c r="H18" s="446">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7"/>
    <col min="7" max="7" width="10.7109375" style="437" bestFit="1" customWidth="1"/>
    <col min="8" max="8" width="9.85546875" style="437" bestFit="1" customWidth="1"/>
  </cols>
  <sheetData>
    <row r="1" spans="1:11" ht="15.75" thickBot="1">
      <c r="A1" s="932" t="s">
        <v>262</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69" thickBot="1">
      <c r="A3" s="940"/>
      <c r="B3" s="942"/>
      <c r="C3" s="942"/>
      <c r="D3" s="944"/>
      <c r="E3" s="465" t="s">
        <v>121</v>
      </c>
      <c r="F3" s="473" t="s">
        <v>705</v>
      </c>
      <c r="G3" s="465" t="s">
        <v>121</v>
      </c>
      <c r="H3" s="473" t="s">
        <v>705</v>
      </c>
      <c r="I3" s="483" t="s">
        <v>121</v>
      </c>
      <c r="J3" s="25" t="s">
        <v>705</v>
      </c>
    </row>
    <row r="4" spans="1:11">
      <c r="A4" s="70">
        <v>43998</v>
      </c>
      <c r="B4" s="71" t="s">
        <v>374</v>
      </c>
      <c r="C4" s="72">
        <v>439607.15</v>
      </c>
      <c r="D4" s="434">
        <f>C4</f>
        <v>439607.15</v>
      </c>
      <c r="E4" s="474"/>
      <c r="F4" s="475" t="str">
        <f>IF(ISBLANK(E4),"----",E4-$D4)</f>
        <v>----</v>
      </c>
      <c r="G4" s="474">
        <v>444195.77</v>
      </c>
      <c r="H4" s="475">
        <f t="shared" ref="H4:H17" si="0">IF(OR(G4="Complete",ISBLANK(G4)),"----",G4-$D4)</f>
        <v>4588.6199999999953</v>
      </c>
      <c r="I4" s="484" t="s">
        <v>704</v>
      </c>
      <c r="J4" s="73" t="str">
        <f t="shared" ref="J4:J17" si="1">IF(OR(I4="Complete",ISBLANK(I4)),"----",I4-$D4)</f>
        <v>----</v>
      </c>
    </row>
    <row r="5" spans="1:11">
      <c r="A5" s="88">
        <v>44216</v>
      </c>
      <c r="B5" s="101" t="s">
        <v>375</v>
      </c>
      <c r="C5" s="82">
        <v>308610.75</v>
      </c>
      <c r="D5" s="436">
        <v>62820.75</v>
      </c>
      <c r="E5" s="476"/>
      <c r="F5" s="477" t="str">
        <f t="shared" ref="F5:F17" si="2">IF(ISBLANK(E5),"----",E5-$D5)</f>
        <v>----</v>
      </c>
      <c r="G5" s="476">
        <f>338536.55-245790</f>
        <v>92746.549999999988</v>
      </c>
      <c r="H5" s="477">
        <f t="shared" si="0"/>
        <v>29925.799999999988</v>
      </c>
      <c r="I5" s="489" t="s">
        <v>704</v>
      </c>
      <c r="J5" s="83" t="str">
        <f t="shared" si="1"/>
        <v>----</v>
      </c>
      <c r="K5" t="s">
        <v>817</v>
      </c>
    </row>
    <row r="6" spans="1:11">
      <c r="A6" s="102">
        <v>44488</v>
      </c>
      <c r="B6" s="103" t="s">
        <v>482</v>
      </c>
      <c r="C6" s="87">
        <v>794590.8</v>
      </c>
      <c r="D6" s="471">
        <f>C6</f>
        <v>794590.8</v>
      </c>
      <c r="E6" s="478"/>
      <c r="F6" s="477" t="str">
        <f t="shared" si="2"/>
        <v>----</v>
      </c>
      <c r="G6" s="478">
        <v>797681.03</v>
      </c>
      <c r="H6" s="477">
        <f t="shared" si="0"/>
        <v>3090.2299999999814</v>
      </c>
      <c r="I6" s="491" t="s">
        <v>704</v>
      </c>
      <c r="J6" s="83" t="str">
        <f t="shared" si="1"/>
        <v>----</v>
      </c>
    </row>
    <row r="7" spans="1:11">
      <c r="A7" s="102">
        <v>44551</v>
      </c>
      <c r="B7" s="258" t="s">
        <v>481</v>
      </c>
      <c r="C7" s="87">
        <v>507684.25</v>
      </c>
      <c r="D7" s="471">
        <f>C7</f>
        <v>507684.25</v>
      </c>
      <c r="E7" s="478"/>
      <c r="F7" s="477" t="str">
        <f t="shared" si="2"/>
        <v>----</v>
      </c>
      <c r="G7" s="478">
        <v>520597.6</v>
      </c>
      <c r="H7" s="477">
        <f t="shared" si="0"/>
        <v>12913.349999999977</v>
      </c>
      <c r="I7" s="491" t="s">
        <v>704</v>
      </c>
      <c r="J7" s="83" t="str">
        <f t="shared" si="1"/>
        <v>----</v>
      </c>
    </row>
    <row r="8" spans="1:11">
      <c r="A8" s="102">
        <v>44670</v>
      </c>
      <c r="B8" s="103" t="s">
        <v>515</v>
      </c>
      <c r="C8" s="87">
        <v>588114.94999999995</v>
      </c>
      <c r="D8" s="471">
        <f>C8</f>
        <v>588114.94999999995</v>
      </c>
      <c r="E8" s="478"/>
      <c r="F8" s="477" t="str">
        <f t="shared" si="2"/>
        <v>----</v>
      </c>
      <c r="G8" s="478">
        <v>602873.4</v>
      </c>
      <c r="H8" s="477">
        <f t="shared" si="0"/>
        <v>14758.45000000007</v>
      </c>
      <c r="I8" s="491" t="s">
        <v>704</v>
      </c>
      <c r="J8" s="83" t="str">
        <f t="shared" si="1"/>
        <v>----</v>
      </c>
    </row>
    <row r="9" spans="1:11">
      <c r="A9" s="102">
        <v>45461</v>
      </c>
      <c r="B9" s="455" t="s">
        <v>756</v>
      </c>
      <c r="C9" s="373">
        <v>555067.51</v>
      </c>
      <c r="D9" s="572">
        <f>C9</f>
        <v>555067.51</v>
      </c>
      <c r="E9" s="478"/>
      <c r="F9" s="477" t="str">
        <f t="shared" si="2"/>
        <v>----</v>
      </c>
      <c r="G9" s="478"/>
      <c r="H9" s="477" t="str">
        <f t="shared" si="0"/>
        <v>----</v>
      </c>
      <c r="I9" s="491"/>
      <c r="J9" s="83" t="str">
        <f t="shared" si="1"/>
        <v>----</v>
      </c>
    </row>
    <row r="10" spans="1:11">
      <c r="A10" s="102"/>
      <c r="B10" s="103"/>
      <c r="C10" s="373"/>
      <c r="D10" s="572"/>
      <c r="E10" s="478"/>
      <c r="F10" s="477" t="str">
        <f t="shared" si="2"/>
        <v>----</v>
      </c>
      <c r="G10" s="478"/>
      <c r="H10" s="477" t="str">
        <f t="shared" si="0"/>
        <v>----</v>
      </c>
      <c r="I10" s="491"/>
      <c r="J10" s="83" t="str">
        <f t="shared" si="1"/>
        <v>----</v>
      </c>
    </row>
    <row r="11" spans="1:11">
      <c r="A11" s="102"/>
      <c r="B11" s="103"/>
      <c r="C11" s="373"/>
      <c r="D11" s="572"/>
      <c r="E11" s="478"/>
      <c r="F11" s="477" t="str">
        <f t="shared" si="2"/>
        <v>----</v>
      </c>
      <c r="G11" s="478"/>
      <c r="H11" s="477" t="str">
        <f t="shared" si="0"/>
        <v>----</v>
      </c>
      <c r="I11" s="491"/>
      <c r="J11" s="83" t="str">
        <f t="shared" si="1"/>
        <v>----</v>
      </c>
    </row>
    <row r="12" spans="1:11">
      <c r="A12" s="102"/>
      <c r="B12" s="103"/>
      <c r="C12" s="373"/>
      <c r="D12" s="572"/>
      <c r="E12" s="478"/>
      <c r="F12" s="477" t="str">
        <f t="shared" si="2"/>
        <v>----</v>
      </c>
      <c r="G12" s="478"/>
      <c r="H12" s="477" t="str">
        <f t="shared" si="0"/>
        <v>----</v>
      </c>
      <c r="I12" s="491"/>
      <c r="J12" s="83" t="str">
        <f t="shared" si="1"/>
        <v>----</v>
      </c>
    </row>
    <row r="13" spans="1:11">
      <c r="A13" s="102"/>
      <c r="B13" s="103"/>
      <c r="C13" s="373"/>
      <c r="D13" s="572"/>
      <c r="E13" s="478"/>
      <c r="F13" s="477" t="str">
        <f t="shared" si="2"/>
        <v>----</v>
      </c>
      <c r="G13" s="478"/>
      <c r="H13" s="477" t="str">
        <f t="shared" si="0"/>
        <v>----</v>
      </c>
      <c r="I13" s="491"/>
      <c r="J13" s="83" t="str">
        <f t="shared" si="1"/>
        <v>----</v>
      </c>
    </row>
    <row r="14" spans="1:11">
      <c r="A14" s="116"/>
      <c r="B14" s="117"/>
      <c r="C14" s="617"/>
      <c r="D14" s="618"/>
      <c r="E14" s="479"/>
      <c r="F14" s="477" t="str">
        <f t="shared" si="2"/>
        <v>----</v>
      </c>
      <c r="G14" s="479"/>
      <c r="H14" s="477" t="str">
        <f t="shared" si="0"/>
        <v>----</v>
      </c>
      <c r="I14" s="493"/>
      <c r="J14" s="83" t="str">
        <f t="shared" si="1"/>
        <v>----</v>
      </c>
    </row>
    <row r="15" spans="1:11">
      <c r="A15" s="88"/>
      <c r="B15" s="101"/>
      <c r="C15" s="462"/>
      <c r="D15" s="512"/>
      <c r="E15" s="476"/>
      <c r="F15" s="477" t="str">
        <f t="shared" si="2"/>
        <v>----</v>
      </c>
      <c r="G15" s="476"/>
      <c r="H15" s="477" t="str">
        <f t="shared" si="0"/>
        <v>----</v>
      </c>
      <c r="I15" s="489"/>
      <c r="J15" s="83" t="str">
        <f t="shared" si="1"/>
        <v>----</v>
      </c>
    </row>
    <row r="16" spans="1:11">
      <c r="A16" s="91"/>
      <c r="B16" s="92"/>
      <c r="C16" s="619"/>
      <c r="D16" s="620"/>
      <c r="E16" s="487"/>
      <c r="F16" s="488" t="str">
        <f t="shared" si="2"/>
        <v>----</v>
      </c>
      <c r="G16" s="487"/>
      <c r="H16" s="488" t="str">
        <f t="shared" si="0"/>
        <v>----</v>
      </c>
      <c r="I16" s="485"/>
      <c r="J16" s="85" t="str">
        <f t="shared" si="1"/>
        <v>----</v>
      </c>
    </row>
    <row r="17" spans="1:10" ht="15.75" thickBot="1">
      <c r="A17" s="74"/>
      <c r="B17" s="75"/>
      <c r="C17" s="376"/>
      <c r="D17" s="536"/>
      <c r="E17" s="480"/>
      <c r="F17" s="481" t="str">
        <f t="shared" si="2"/>
        <v>----</v>
      </c>
      <c r="G17" s="480"/>
      <c r="H17" s="481" t="str">
        <f t="shared" si="0"/>
        <v>----</v>
      </c>
      <c r="I17" s="486"/>
      <c r="J17" s="77" t="str">
        <f t="shared" si="1"/>
        <v>----</v>
      </c>
    </row>
    <row r="18" spans="1:10" ht="15.75" thickBot="1">
      <c r="A18" s="27"/>
      <c r="B18" s="27"/>
      <c r="C18" s="28"/>
      <c r="D18" s="28"/>
      <c r="E18" s="444"/>
      <c r="F18" s="446">
        <f>SUM(F4:F17)</f>
        <v>0</v>
      </c>
      <c r="G18" s="444"/>
      <c r="H18" s="446">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7" bestFit="1" customWidth="1"/>
    <col min="6" max="6" width="13.5703125" style="437" customWidth="1"/>
    <col min="7" max="7" width="12" style="437" bestFit="1" customWidth="1"/>
    <col min="8" max="8" width="13.5703125" style="437" customWidth="1"/>
    <col min="9" max="9" width="12" bestFit="1" customWidth="1"/>
    <col min="10" max="10" width="13.5703125" customWidth="1"/>
  </cols>
  <sheetData>
    <row r="1" spans="1:11" ht="15.75" thickBot="1">
      <c r="A1" s="932" t="s">
        <v>181</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46.5" thickBot="1">
      <c r="A3" s="940"/>
      <c r="B3" s="942"/>
      <c r="C3" s="942"/>
      <c r="D3" s="944"/>
      <c r="E3" s="465" t="s">
        <v>121</v>
      </c>
      <c r="F3" s="473" t="s">
        <v>705</v>
      </c>
      <c r="G3" s="465" t="s">
        <v>121</v>
      </c>
      <c r="H3" s="473" t="s">
        <v>705</v>
      </c>
      <c r="I3" s="483" t="s">
        <v>121</v>
      </c>
      <c r="J3" s="25" t="s">
        <v>705</v>
      </c>
    </row>
    <row r="4" spans="1:11">
      <c r="A4" s="70">
        <v>43852</v>
      </c>
      <c r="B4" s="71" t="s">
        <v>200</v>
      </c>
      <c r="C4" s="72">
        <v>1206780.03</v>
      </c>
      <c r="D4" s="434">
        <f>C4</f>
        <v>1206780.03</v>
      </c>
      <c r="E4" s="474">
        <v>1215947.19</v>
      </c>
      <c r="F4" s="475">
        <f>IF(ISBLANK(E4),"----",E4-$D4)</f>
        <v>9167.1599999999162</v>
      </c>
      <c r="G4" s="474" t="s">
        <v>704</v>
      </c>
      <c r="H4" s="475" t="str">
        <f t="shared" ref="H4:H20" si="0">IF(OR(G4="Complete",ISBLANK(G4)),"----",G4-$D4)</f>
        <v>----</v>
      </c>
      <c r="I4" s="484" t="s">
        <v>704</v>
      </c>
      <c r="J4" s="73" t="str">
        <f t="shared" ref="J4:J20" si="1">IF(OR(I4="Complete",ISBLANK(I4)),"----",I4-$D4)</f>
        <v>----</v>
      </c>
    </row>
    <row r="5" spans="1:11">
      <c r="A5" s="91">
        <v>44124</v>
      </c>
      <c r="B5" s="92" t="s">
        <v>313</v>
      </c>
      <c r="C5" s="84">
        <v>786173.3</v>
      </c>
      <c r="D5" s="482">
        <v>389452.3</v>
      </c>
      <c r="E5" s="487"/>
      <c r="F5" s="477" t="str">
        <f t="shared" ref="F5:F20" si="2">IF(ISBLANK(E5),"----",E5-$D5)</f>
        <v>----</v>
      </c>
      <c r="G5" s="487">
        <f>780468.25-396721</f>
        <v>383747.25</v>
      </c>
      <c r="H5" s="477">
        <f t="shared" si="0"/>
        <v>-5705.0499999999884</v>
      </c>
      <c r="I5" s="485" t="s">
        <v>704</v>
      </c>
      <c r="J5" s="83" t="str">
        <f t="shared" si="1"/>
        <v>----</v>
      </c>
      <c r="K5" s="797" t="s">
        <v>812</v>
      </c>
    </row>
    <row r="6" spans="1:11">
      <c r="A6" s="102">
        <v>44334</v>
      </c>
      <c r="B6" s="103" t="s">
        <v>429</v>
      </c>
      <c r="C6" s="87">
        <v>821929.8</v>
      </c>
      <c r="D6" s="471">
        <f>C6</f>
        <v>821929.8</v>
      </c>
      <c r="E6" s="478">
        <v>800377.23</v>
      </c>
      <c r="F6" s="477">
        <f t="shared" si="2"/>
        <v>-21552.570000000065</v>
      </c>
      <c r="G6" s="478" t="s">
        <v>704</v>
      </c>
      <c r="H6" s="477" t="str">
        <f t="shared" si="0"/>
        <v>----</v>
      </c>
      <c r="I6" s="491" t="s">
        <v>704</v>
      </c>
      <c r="J6" s="83" t="str">
        <f t="shared" si="1"/>
        <v>----</v>
      </c>
    </row>
    <row r="7" spans="1:11">
      <c r="A7" s="102">
        <v>44460</v>
      </c>
      <c r="B7" s="103" t="s">
        <v>453</v>
      </c>
      <c r="C7" s="87">
        <v>760896.65</v>
      </c>
      <c r="D7" s="471">
        <v>446285.65</v>
      </c>
      <c r="E7" s="478"/>
      <c r="F7" s="477" t="str">
        <f t="shared" si="2"/>
        <v>----</v>
      </c>
      <c r="G7" s="478"/>
      <c r="H7" s="477" t="str">
        <f t="shared" si="0"/>
        <v>----</v>
      </c>
      <c r="I7" s="491"/>
      <c r="J7" s="83" t="str">
        <f t="shared" si="1"/>
        <v>----</v>
      </c>
    </row>
    <row r="8" spans="1:11">
      <c r="A8" s="102">
        <v>45370</v>
      </c>
      <c r="B8" s="103" t="s">
        <v>735</v>
      </c>
      <c r="C8" s="87">
        <v>453367.26</v>
      </c>
      <c r="D8" s="471">
        <f>C8</f>
        <v>453367.26</v>
      </c>
      <c r="E8" s="478"/>
      <c r="F8" s="477" t="str">
        <f t="shared" si="2"/>
        <v>----</v>
      </c>
      <c r="G8" s="478"/>
      <c r="H8" s="477" t="str">
        <f t="shared" si="0"/>
        <v>----</v>
      </c>
      <c r="I8" s="491"/>
      <c r="J8" s="83" t="str">
        <f t="shared" si="1"/>
        <v>----</v>
      </c>
    </row>
    <row r="9" spans="1:11">
      <c r="A9" s="102"/>
      <c r="B9" s="103"/>
      <c r="C9" s="87"/>
      <c r="D9" s="471"/>
      <c r="E9" s="478"/>
      <c r="F9" s="477" t="str">
        <f t="shared" si="2"/>
        <v>----</v>
      </c>
      <c r="G9" s="478"/>
      <c r="H9" s="477" t="str">
        <f t="shared" si="0"/>
        <v>----</v>
      </c>
      <c r="I9" s="491"/>
      <c r="J9" s="83" t="str">
        <f t="shared" si="1"/>
        <v>----</v>
      </c>
    </row>
    <row r="10" spans="1:11">
      <c r="A10" s="102"/>
      <c r="B10" s="103"/>
      <c r="C10" s="87"/>
      <c r="D10" s="471"/>
      <c r="E10" s="478"/>
      <c r="F10" s="477" t="str">
        <f t="shared" si="2"/>
        <v>----</v>
      </c>
      <c r="G10" s="478"/>
      <c r="H10" s="477" t="str">
        <f t="shared" si="0"/>
        <v>----</v>
      </c>
      <c r="I10" s="491"/>
      <c r="J10" s="83" t="str">
        <f t="shared" si="1"/>
        <v>----</v>
      </c>
    </row>
    <row r="11" spans="1:11">
      <c r="A11" s="102"/>
      <c r="B11" s="103"/>
      <c r="C11" s="87"/>
      <c r="D11" s="471"/>
      <c r="E11" s="478"/>
      <c r="F11" s="477" t="str">
        <f t="shared" si="2"/>
        <v>----</v>
      </c>
      <c r="G11" s="478"/>
      <c r="H11" s="477" t="str">
        <f t="shared" si="0"/>
        <v>----</v>
      </c>
      <c r="I11" s="491"/>
      <c r="J11" s="83" t="str">
        <f t="shared" si="1"/>
        <v>----</v>
      </c>
    </row>
    <row r="12" spans="1:11">
      <c r="A12" s="102"/>
      <c r="B12" s="103"/>
      <c r="C12" s="87"/>
      <c r="D12" s="471"/>
      <c r="E12" s="478"/>
      <c r="F12" s="477" t="str">
        <f t="shared" si="2"/>
        <v>----</v>
      </c>
      <c r="G12" s="478"/>
      <c r="H12" s="477" t="str">
        <f t="shared" si="0"/>
        <v>----</v>
      </c>
      <c r="I12" s="491"/>
      <c r="J12" s="83" t="str">
        <f t="shared" si="1"/>
        <v>----</v>
      </c>
    </row>
    <row r="13" spans="1:11">
      <c r="A13" s="102"/>
      <c r="B13" s="103"/>
      <c r="C13" s="87"/>
      <c r="D13" s="471"/>
      <c r="E13" s="478"/>
      <c r="F13" s="477" t="str">
        <f t="shared" si="2"/>
        <v>----</v>
      </c>
      <c r="G13" s="478"/>
      <c r="H13" s="477" t="str">
        <f t="shared" si="0"/>
        <v>----</v>
      </c>
      <c r="I13" s="491"/>
      <c r="J13" s="83" t="str">
        <f t="shared" si="1"/>
        <v>----</v>
      </c>
    </row>
    <row r="14" spans="1:11">
      <c r="A14" s="102"/>
      <c r="B14" s="103"/>
      <c r="C14" s="87"/>
      <c r="D14" s="471"/>
      <c r="E14" s="478"/>
      <c r="F14" s="477" t="str">
        <f t="shared" si="2"/>
        <v>----</v>
      </c>
      <c r="G14" s="478"/>
      <c r="H14" s="477" t="str">
        <f t="shared" si="0"/>
        <v>----</v>
      </c>
      <c r="I14" s="491"/>
      <c r="J14" s="83" t="str">
        <f t="shared" si="1"/>
        <v>----</v>
      </c>
    </row>
    <row r="15" spans="1:11">
      <c r="A15" s="102"/>
      <c r="B15" s="103"/>
      <c r="C15" s="87"/>
      <c r="D15" s="471"/>
      <c r="E15" s="478"/>
      <c r="F15" s="477" t="str">
        <f t="shared" si="2"/>
        <v>----</v>
      </c>
      <c r="G15" s="478"/>
      <c r="H15" s="477" t="str">
        <f t="shared" si="0"/>
        <v>----</v>
      </c>
      <c r="I15" s="491"/>
      <c r="J15" s="83" t="str">
        <f t="shared" si="1"/>
        <v>----</v>
      </c>
    </row>
    <row r="16" spans="1:11">
      <c r="A16" s="102"/>
      <c r="B16" s="103"/>
      <c r="C16" s="87"/>
      <c r="D16" s="471"/>
      <c r="E16" s="478"/>
      <c r="F16" s="477" t="str">
        <f t="shared" si="2"/>
        <v>----</v>
      </c>
      <c r="G16" s="478"/>
      <c r="H16" s="477" t="str">
        <f t="shared" si="0"/>
        <v>----</v>
      </c>
      <c r="I16" s="491"/>
      <c r="J16" s="83" t="str">
        <f t="shared" si="1"/>
        <v>----</v>
      </c>
    </row>
    <row r="17" spans="1:10">
      <c r="A17" s="102"/>
      <c r="B17" s="103"/>
      <c r="C17" s="87"/>
      <c r="D17" s="471"/>
      <c r="E17" s="478"/>
      <c r="F17" s="477" t="str">
        <f t="shared" si="2"/>
        <v>----</v>
      </c>
      <c r="G17" s="478"/>
      <c r="H17" s="477" t="str">
        <f t="shared" si="0"/>
        <v>----</v>
      </c>
      <c r="I17" s="491"/>
      <c r="J17" s="83" t="str">
        <f t="shared" si="1"/>
        <v>----</v>
      </c>
    </row>
    <row r="18" spans="1:10">
      <c r="A18" s="102"/>
      <c r="B18" s="103"/>
      <c r="C18" s="87"/>
      <c r="D18" s="471"/>
      <c r="E18" s="478"/>
      <c r="F18" s="477" t="str">
        <f t="shared" si="2"/>
        <v>----</v>
      </c>
      <c r="G18" s="478"/>
      <c r="H18" s="477" t="str">
        <f t="shared" si="0"/>
        <v>----</v>
      </c>
      <c r="I18" s="491"/>
      <c r="J18" s="83" t="str">
        <f t="shared" si="1"/>
        <v>----</v>
      </c>
    </row>
    <row r="19" spans="1:10">
      <c r="A19" s="116"/>
      <c r="B19" s="117"/>
      <c r="C19" s="118"/>
      <c r="D19" s="472"/>
      <c r="E19" s="479"/>
      <c r="F19" s="477" t="str">
        <f t="shared" si="2"/>
        <v>----</v>
      </c>
      <c r="G19" s="479"/>
      <c r="H19" s="477" t="str">
        <f t="shared" si="0"/>
        <v>----</v>
      </c>
      <c r="I19" s="493"/>
      <c r="J19" s="83" t="str">
        <f t="shared" si="1"/>
        <v>----</v>
      </c>
    </row>
    <row r="20" spans="1:10" ht="15.75" thickBot="1">
      <c r="A20" s="74"/>
      <c r="B20" s="75"/>
      <c r="C20" s="76"/>
      <c r="D20" s="435"/>
      <c r="E20" s="480"/>
      <c r="F20" s="481" t="str">
        <f t="shared" si="2"/>
        <v>----</v>
      </c>
      <c r="G20" s="480"/>
      <c r="H20" s="481" t="str">
        <f t="shared" si="0"/>
        <v>----</v>
      </c>
      <c r="I20" s="486"/>
      <c r="J20" s="77" t="str">
        <f t="shared" si="1"/>
        <v>----</v>
      </c>
    </row>
    <row r="21" spans="1:10" ht="15.75" thickBot="1">
      <c r="A21" s="27"/>
      <c r="B21" s="27"/>
      <c r="C21" s="28"/>
      <c r="D21" s="28"/>
      <c r="E21" s="444"/>
      <c r="F21" s="446">
        <f>SUM(F4:F20)</f>
        <v>-12385.410000000149</v>
      </c>
      <c r="G21" s="444"/>
      <c r="H21" s="446">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G7" sqref="G7"/>
    </sheetView>
  </sheetViews>
  <sheetFormatPr defaultRowHeight="15"/>
  <cols>
    <col min="2" max="2" width="22.5703125" bestFit="1" customWidth="1"/>
    <col min="3" max="4" width="10.7109375" bestFit="1" customWidth="1"/>
    <col min="5" max="5" width="10.7109375" style="437" bestFit="1" customWidth="1"/>
    <col min="6" max="6" width="9.85546875" style="437" bestFit="1" customWidth="1"/>
    <col min="7" max="7" width="10.7109375" style="437" bestFit="1" customWidth="1"/>
    <col min="8" max="8" width="9.85546875" style="437" bestFit="1" customWidth="1"/>
    <col min="9" max="9" width="10.7109375" bestFit="1" customWidth="1"/>
    <col min="10" max="10" width="9.85546875" bestFit="1" customWidth="1"/>
  </cols>
  <sheetData>
    <row r="1" spans="1:10" ht="15.75" thickBot="1">
      <c r="A1" s="932" t="s">
        <v>263</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44397</v>
      </c>
      <c r="B4" s="71" t="s">
        <v>439</v>
      </c>
      <c r="C4" s="72">
        <v>335897.75</v>
      </c>
      <c r="D4" s="434">
        <f>C4</f>
        <v>335897.75</v>
      </c>
      <c r="E4" s="474">
        <v>348364.73</v>
      </c>
      <c r="F4" s="475">
        <f>IF(ISBLANK(E4),"----",E4-$D4)</f>
        <v>12466.979999999981</v>
      </c>
      <c r="G4" s="474" t="s">
        <v>704</v>
      </c>
      <c r="H4" s="475" t="str">
        <f t="shared" ref="H4:H22" si="0">IF(OR(G4="Complete",ISBLANK(G4)),"----",G4-$D4)</f>
        <v>----</v>
      </c>
      <c r="I4" s="484" t="s">
        <v>704</v>
      </c>
      <c r="J4" s="73" t="str">
        <f t="shared" ref="J4:J22" si="1">IF(OR(I4="Complete",ISBLANK(I4)),"----",I4-$D4)</f>
        <v>----</v>
      </c>
    </row>
    <row r="5" spans="1:10">
      <c r="A5" s="88">
        <v>44397</v>
      </c>
      <c r="B5" s="101" t="s">
        <v>440</v>
      </c>
      <c r="C5" s="82">
        <v>144399.63</v>
      </c>
      <c r="D5" s="436">
        <f>C5</f>
        <v>144399.63</v>
      </c>
      <c r="E5" s="476">
        <v>166173.15</v>
      </c>
      <c r="F5" s="477">
        <f t="shared" ref="F5:F22" si="2">IF(ISBLANK(E5),"----",E5-$D5)</f>
        <v>21773.51999999999</v>
      </c>
      <c r="G5" s="476" t="s">
        <v>704</v>
      </c>
      <c r="H5" s="477" t="str">
        <f t="shared" si="0"/>
        <v>----</v>
      </c>
      <c r="I5" s="489" t="s">
        <v>704</v>
      </c>
      <c r="J5" s="83" t="str">
        <f t="shared" si="1"/>
        <v>----</v>
      </c>
    </row>
    <row r="6" spans="1:10">
      <c r="A6" s="88">
        <v>44789</v>
      </c>
      <c r="B6" s="101" t="s">
        <v>553</v>
      </c>
      <c r="C6" s="82">
        <v>241434.5</v>
      </c>
      <c r="D6" s="436">
        <f>C6</f>
        <v>241434.5</v>
      </c>
      <c r="E6" s="476"/>
      <c r="F6" s="477" t="str">
        <f t="shared" si="2"/>
        <v>----</v>
      </c>
      <c r="G6" s="476">
        <v>243651.72</v>
      </c>
      <c r="H6" s="477">
        <f t="shared" si="0"/>
        <v>2217.2200000000012</v>
      </c>
      <c r="I6" s="489"/>
      <c r="J6" s="83" t="str">
        <f t="shared" si="1"/>
        <v>----</v>
      </c>
    </row>
    <row r="7" spans="1:10">
      <c r="A7" s="88">
        <v>45097</v>
      </c>
      <c r="B7" s="101" t="s">
        <v>651</v>
      </c>
      <c r="C7" s="82">
        <v>470735</v>
      </c>
      <c r="D7" s="436">
        <f>C7</f>
        <v>470735</v>
      </c>
      <c r="E7" s="476"/>
      <c r="F7" s="477" t="str">
        <f t="shared" si="2"/>
        <v>----</v>
      </c>
      <c r="G7" s="476"/>
      <c r="H7" s="477" t="str">
        <f t="shared" si="0"/>
        <v>----</v>
      </c>
      <c r="I7" s="489"/>
      <c r="J7" s="83" t="str">
        <f t="shared" si="1"/>
        <v>----</v>
      </c>
    </row>
    <row r="8" spans="1:10">
      <c r="A8" s="396">
        <v>45251</v>
      </c>
      <c r="B8" s="397" t="s">
        <v>677</v>
      </c>
      <c r="C8" s="395">
        <v>434062.5</v>
      </c>
      <c r="D8" s="436">
        <f>C8</f>
        <v>434062.5</v>
      </c>
      <c r="E8" s="476"/>
      <c r="F8" s="477" t="str">
        <f t="shared" si="2"/>
        <v>----</v>
      </c>
      <c r="G8" s="476"/>
      <c r="H8" s="477" t="str">
        <f t="shared" si="0"/>
        <v>----</v>
      </c>
      <c r="I8" s="489"/>
      <c r="J8" s="83" t="str">
        <f t="shared" si="1"/>
        <v>----</v>
      </c>
    </row>
    <row r="9" spans="1:10">
      <c r="A9" s="88"/>
      <c r="B9" s="101"/>
      <c r="C9" s="82"/>
      <c r="D9" s="436"/>
      <c r="E9" s="476"/>
      <c r="F9" s="477" t="str">
        <f t="shared" si="2"/>
        <v>----</v>
      </c>
      <c r="G9" s="476"/>
      <c r="H9" s="477" t="str">
        <f t="shared" si="0"/>
        <v>----</v>
      </c>
      <c r="I9" s="489"/>
      <c r="J9" s="83" t="str">
        <f t="shared" si="1"/>
        <v>----</v>
      </c>
    </row>
    <row r="10" spans="1:10">
      <c r="A10" s="88"/>
      <c r="B10" s="101"/>
      <c r="C10" s="82"/>
      <c r="D10" s="436"/>
      <c r="E10" s="476"/>
      <c r="F10" s="477" t="str">
        <f t="shared" si="2"/>
        <v>----</v>
      </c>
      <c r="G10" s="476"/>
      <c r="H10" s="477" t="str">
        <f t="shared" si="0"/>
        <v>----</v>
      </c>
      <c r="I10" s="489"/>
      <c r="J10" s="83" t="str">
        <f t="shared" si="1"/>
        <v>----</v>
      </c>
    </row>
    <row r="11" spans="1:10">
      <c r="A11" s="88"/>
      <c r="B11" s="101"/>
      <c r="C11" s="82"/>
      <c r="D11" s="436"/>
      <c r="E11" s="476"/>
      <c r="F11" s="477" t="str">
        <f t="shared" si="2"/>
        <v>----</v>
      </c>
      <c r="G11" s="476"/>
      <c r="H11" s="477" t="str">
        <f t="shared" si="0"/>
        <v>----</v>
      </c>
      <c r="I11" s="489"/>
      <c r="J11" s="83" t="str">
        <f t="shared" si="1"/>
        <v>----</v>
      </c>
    </row>
    <row r="12" spans="1:10">
      <c r="A12" s="88"/>
      <c r="B12" s="101"/>
      <c r="C12" s="82"/>
      <c r="D12" s="436"/>
      <c r="E12" s="476"/>
      <c r="F12" s="477" t="str">
        <f t="shared" si="2"/>
        <v>----</v>
      </c>
      <c r="G12" s="476"/>
      <c r="H12" s="477" t="str">
        <f t="shared" si="0"/>
        <v>----</v>
      </c>
      <c r="I12" s="489"/>
      <c r="J12" s="83" t="str">
        <f t="shared" si="1"/>
        <v>----</v>
      </c>
    </row>
    <row r="13" spans="1:10">
      <c r="A13" s="88"/>
      <c r="B13" s="101"/>
      <c r="C13" s="82"/>
      <c r="D13" s="436"/>
      <c r="E13" s="476"/>
      <c r="F13" s="477" t="str">
        <f t="shared" si="2"/>
        <v>----</v>
      </c>
      <c r="G13" s="476"/>
      <c r="H13" s="477" t="str">
        <f t="shared" si="0"/>
        <v>----</v>
      </c>
      <c r="I13" s="489"/>
      <c r="J13" s="83" t="str">
        <f t="shared" si="1"/>
        <v>----</v>
      </c>
    </row>
    <row r="14" spans="1:10">
      <c r="A14" s="88"/>
      <c r="B14" s="101"/>
      <c r="C14" s="82"/>
      <c r="D14" s="436"/>
      <c r="E14" s="476"/>
      <c r="F14" s="477" t="str">
        <f t="shared" si="2"/>
        <v>----</v>
      </c>
      <c r="G14" s="476"/>
      <c r="H14" s="477" t="str">
        <f t="shared" si="0"/>
        <v>----</v>
      </c>
      <c r="I14" s="489"/>
      <c r="J14" s="83" t="str">
        <f t="shared" si="1"/>
        <v>----</v>
      </c>
    </row>
    <row r="15" spans="1:10">
      <c r="A15" s="88"/>
      <c r="B15" s="101"/>
      <c r="C15" s="82"/>
      <c r="D15" s="436"/>
      <c r="E15" s="476"/>
      <c r="F15" s="477" t="str">
        <f t="shared" si="2"/>
        <v>----</v>
      </c>
      <c r="G15" s="476"/>
      <c r="H15" s="477" t="str">
        <f t="shared" si="0"/>
        <v>----</v>
      </c>
      <c r="I15" s="489"/>
      <c r="J15" s="83" t="str">
        <f t="shared" si="1"/>
        <v>----</v>
      </c>
    </row>
    <row r="16" spans="1:10">
      <c r="A16" s="88"/>
      <c r="B16" s="101"/>
      <c r="C16" s="82"/>
      <c r="D16" s="436"/>
      <c r="E16" s="476"/>
      <c r="F16" s="477" t="str">
        <f t="shared" si="2"/>
        <v>----</v>
      </c>
      <c r="G16" s="476"/>
      <c r="H16" s="477" t="str">
        <f t="shared" si="0"/>
        <v>----</v>
      </c>
      <c r="I16" s="489"/>
      <c r="J16" s="83" t="str">
        <f t="shared" si="1"/>
        <v>----</v>
      </c>
    </row>
    <row r="17" spans="1:10">
      <c r="A17" s="88"/>
      <c r="B17" s="101"/>
      <c r="C17" s="82"/>
      <c r="D17" s="436"/>
      <c r="E17" s="476"/>
      <c r="F17" s="477" t="str">
        <f t="shared" si="2"/>
        <v>----</v>
      </c>
      <c r="G17" s="476"/>
      <c r="H17" s="477" t="str">
        <f t="shared" si="0"/>
        <v>----</v>
      </c>
      <c r="I17" s="489"/>
      <c r="J17" s="83" t="str">
        <f t="shared" si="1"/>
        <v>----</v>
      </c>
    </row>
    <row r="18" spans="1:10">
      <c r="A18" s="88"/>
      <c r="B18" s="101"/>
      <c r="C18" s="82"/>
      <c r="D18" s="436"/>
      <c r="E18" s="476"/>
      <c r="F18" s="477" t="str">
        <f t="shared" si="2"/>
        <v>----</v>
      </c>
      <c r="G18" s="476"/>
      <c r="H18" s="477" t="str">
        <f t="shared" si="0"/>
        <v>----</v>
      </c>
      <c r="I18" s="489"/>
      <c r="J18" s="83" t="str">
        <f t="shared" si="1"/>
        <v>----</v>
      </c>
    </row>
    <row r="19" spans="1:10">
      <c r="A19" s="88"/>
      <c r="B19" s="101"/>
      <c r="C19" s="82"/>
      <c r="D19" s="436"/>
      <c r="E19" s="476"/>
      <c r="F19" s="477" t="str">
        <f t="shared" si="2"/>
        <v>----</v>
      </c>
      <c r="G19" s="476"/>
      <c r="H19" s="477" t="str">
        <f t="shared" si="0"/>
        <v>----</v>
      </c>
      <c r="I19" s="489"/>
      <c r="J19" s="83" t="str">
        <f t="shared" si="1"/>
        <v>----</v>
      </c>
    </row>
    <row r="20" spans="1:10">
      <c r="A20" s="88"/>
      <c r="B20" s="101"/>
      <c r="C20" s="82"/>
      <c r="D20" s="436"/>
      <c r="E20" s="476"/>
      <c r="F20" s="477" t="str">
        <f t="shared" si="2"/>
        <v>----</v>
      </c>
      <c r="G20" s="476"/>
      <c r="H20" s="477" t="str">
        <f t="shared" si="0"/>
        <v>----</v>
      </c>
      <c r="I20" s="489"/>
      <c r="J20" s="83" t="str">
        <f t="shared" si="1"/>
        <v>----</v>
      </c>
    </row>
    <row r="21" spans="1:10">
      <c r="A21" s="91"/>
      <c r="B21" s="92"/>
      <c r="C21" s="84"/>
      <c r="D21" s="482"/>
      <c r="E21" s="487"/>
      <c r="F21" s="488" t="str">
        <f t="shared" si="2"/>
        <v>----</v>
      </c>
      <c r="G21" s="487"/>
      <c r="H21" s="488" t="str">
        <f t="shared" si="0"/>
        <v>----</v>
      </c>
      <c r="I21" s="485"/>
      <c r="J21" s="85" t="str">
        <f t="shared" si="1"/>
        <v>----</v>
      </c>
    </row>
    <row r="22" spans="1:10" ht="15.75" thickBot="1">
      <c r="A22" s="74"/>
      <c r="B22" s="75"/>
      <c r="C22" s="76"/>
      <c r="D22" s="435"/>
      <c r="E22" s="480"/>
      <c r="F22" s="481" t="str">
        <f t="shared" si="2"/>
        <v>----</v>
      </c>
      <c r="G22" s="480"/>
      <c r="H22" s="481" t="str">
        <f t="shared" si="0"/>
        <v>----</v>
      </c>
      <c r="I22" s="486"/>
      <c r="J22" s="77" t="str">
        <f t="shared" si="1"/>
        <v>----</v>
      </c>
    </row>
    <row r="23" spans="1:10" ht="15.75" thickBot="1">
      <c r="A23" s="27"/>
      <c r="B23" s="27"/>
      <c r="C23" s="28"/>
      <c r="D23" s="28"/>
      <c r="E23" s="444"/>
      <c r="F23" s="446">
        <f>SUM(F4:F22)</f>
        <v>34240.499999999971</v>
      </c>
      <c r="G23" s="444"/>
      <c r="H23" s="446">
        <f>SUM(H4:H22)</f>
        <v>2217.2200000000012</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7" bestFit="1" customWidth="1"/>
    <col min="6" max="6" width="12.85546875" style="437" customWidth="1"/>
    <col min="7" max="7" width="10.7109375" style="437" bestFit="1" customWidth="1"/>
    <col min="8" max="8" width="12.85546875" style="437" customWidth="1"/>
    <col min="9" max="9" width="10.7109375" bestFit="1" customWidth="1"/>
    <col min="10" max="10" width="12.85546875" customWidth="1"/>
  </cols>
  <sheetData>
    <row r="1" spans="1:10" ht="15.75" thickBot="1">
      <c r="A1" s="932" t="s">
        <v>231</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46.5" thickBot="1">
      <c r="A3" s="940"/>
      <c r="B3" s="942"/>
      <c r="C3" s="942"/>
      <c r="D3" s="944"/>
      <c r="E3" s="465" t="s">
        <v>121</v>
      </c>
      <c r="F3" s="473" t="s">
        <v>705</v>
      </c>
      <c r="G3" s="465" t="s">
        <v>121</v>
      </c>
      <c r="H3" s="473" t="s">
        <v>705</v>
      </c>
      <c r="I3" s="483" t="s">
        <v>121</v>
      </c>
      <c r="J3" s="25" t="s">
        <v>705</v>
      </c>
    </row>
    <row r="4" spans="1:10">
      <c r="A4" s="70">
        <v>43942</v>
      </c>
      <c r="B4" s="71" t="s">
        <v>503</v>
      </c>
      <c r="C4" s="798">
        <v>374869.85</v>
      </c>
      <c r="D4" s="805">
        <f t="shared" ref="D4:D11" si="0">C4</f>
        <v>374869.85</v>
      </c>
      <c r="E4" s="812">
        <v>323487.43</v>
      </c>
      <c r="F4" s="821">
        <f>IF(ISBLANK(E4),"----",E4-$D4)</f>
        <v>-51382.419999999984</v>
      </c>
      <c r="G4" s="812" t="s">
        <v>704</v>
      </c>
      <c r="H4" s="821" t="str">
        <f t="shared" ref="H4:H27" si="1">IF(OR(G4="Complete",ISBLANK(G4)),"----",G4-$D4)</f>
        <v>----</v>
      </c>
      <c r="I4" s="809" t="s">
        <v>704</v>
      </c>
      <c r="J4" s="822" t="str">
        <f t="shared" ref="J4:J27" si="2">IF(OR(I4="Complete",ISBLANK(I4)),"----",I4-$D4)</f>
        <v>----</v>
      </c>
    </row>
    <row r="5" spans="1:10">
      <c r="A5" s="88">
        <v>44635</v>
      </c>
      <c r="B5" s="101" t="s">
        <v>502</v>
      </c>
      <c r="C5" s="801">
        <v>696218</v>
      </c>
      <c r="D5" s="806">
        <f t="shared" si="0"/>
        <v>696218</v>
      </c>
      <c r="E5" s="813">
        <v>672789.05</v>
      </c>
      <c r="F5" s="825">
        <f t="shared" ref="F5:F27" si="3">IF(ISBLANK(E5),"----",E5-$D5)</f>
        <v>-23428.949999999953</v>
      </c>
      <c r="G5" s="813" t="s">
        <v>704</v>
      </c>
      <c r="H5" s="825" t="str">
        <f t="shared" si="1"/>
        <v>----</v>
      </c>
      <c r="I5" s="810" t="s">
        <v>704</v>
      </c>
      <c r="J5" s="826" t="str">
        <f t="shared" si="2"/>
        <v>----</v>
      </c>
    </row>
    <row r="6" spans="1:10">
      <c r="A6" s="102">
        <v>45308</v>
      </c>
      <c r="B6" s="103" t="s">
        <v>718</v>
      </c>
      <c r="C6" s="787">
        <v>219642.95</v>
      </c>
      <c r="D6" s="746">
        <f t="shared" si="0"/>
        <v>219642.95</v>
      </c>
      <c r="E6" s="756"/>
      <c r="F6" s="788" t="str">
        <f t="shared" si="3"/>
        <v>----</v>
      </c>
      <c r="G6" s="756"/>
      <c r="H6" s="788" t="str">
        <f t="shared" si="1"/>
        <v>----</v>
      </c>
      <c r="I6" s="751"/>
      <c r="J6" s="789" t="str">
        <f t="shared" si="2"/>
        <v>----</v>
      </c>
    </row>
    <row r="7" spans="1:10">
      <c r="A7" s="102">
        <v>45308</v>
      </c>
      <c r="B7" s="103" t="s">
        <v>719</v>
      </c>
      <c r="C7" s="787">
        <v>210677.75</v>
      </c>
      <c r="D7" s="746">
        <f t="shared" si="0"/>
        <v>210677.75</v>
      </c>
      <c r="E7" s="756"/>
      <c r="F7" s="788" t="str">
        <f t="shared" si="3"/>
        <v>----</v>
      </c>
      <c r="G7" s="756"/>
      <c r="H7" s="788" t="str">
        <f t="shared" si="1"/>
        <v>----</v>
      </c>
      <c r="I7" s="751"/>
      <c r="J7" s="789" t="str">
        <f t="shared" si="2"/>
        <v>----</v>
      </c>
    </row>
    <row r="8" spans="1:10">
      <c r="A8" s="102">
        <v>45308</v>
      </c>
      <c r="B8" s="103" t="s">
        <v>720</v>
      </c>
      <c r="C8" s="787">
        <v>269286.05</v>
      </c>
      <c r="D8" s="746">
        <f t="shared" si="0"/>
        <v>269286.05</v>
      </c>
      <c r="E8" s="756"/>
      <c r="F8" s="788" t="str">
        <f t="shared" si="3"/>
        <v>----</v>
      </c>
      <c r="G8" s="756"/>
      <c r="H8" s="788" t="str">
        <f t="shared" si="1"/>
        <v>----</v>
      </c>
      <c r="I8" s="751"/>
      <c r="J8" s="789" t="str">
        <f t="shared" si="2"/>
        <v>----</v>
      </c>
    </row>
    <row r="9" spans="1:10">
      <c r="A9" s="950">
        <v>45679</v>
      </c>
      <c r="B9" s="738" t="s">
        <v>829</v>
      </c>
      <c r="C9" s="787">
        <v>286818.99</v>
      </c>
      <c r="D9" s="746">
        <f t="shared" si="0"/>
        <v>286818.99</v>
      </c>
      <c r="E9" s="756"/>
      <c r="F9" s="788" t="str">
        <f t="shared" si="3"/>
        <v>----</v>
      </c>
      <c r="G9" s="756"/>
      <c r="H9" s="788" t="str">
        <f t="shared" si="1"/>
        <v>----</v>
      </c>
      <c r="I9" s="751"/>
      <c r="J9" s="789" t="str">
        <f t="shared" si="2"/>
        <v>----</v>
      </c>
    </row>
    <row r="10" spans="1:10">
      <c r="A10" s="951"/>
      <c r="B10" s="738" t="s">
        <v>830</v>
      </c>
      <c r="C10" s="787">
        <v>313955.90000000002</v>
      </c>
      <c r="D10" s="746">
        <f t="shared" si="0"/>
        <v>313955.90000000002</v>
      </c>
      <c r="E10" s="756"/>
      <c r="F10" s="788" t="str">
        <f t="shared" si="3"/>
        <v>----</v>
      </c>
      <c r="G10" s="756"/>
      <c r="H10" s="788" t="str">
        <f t="shared" si="1"/>
        <v>----</v>
      </c>
      <c r="I10" s="751"/>
      <c r="J10" s="789" t="str">
        <f t="shared" si="2"/>
        <v>----</v>
      </c>
    </row>
    <row r="11" spans="1:10">
      <c r="A11" s="952"/>
      <c r="B11" s="738" t="s">
        <v>831</v>
      </c>
      <c r="C11" s="787">
        <v>277552.03999999998</v>
      </c>
      <c r="D11" s="746">
        <f t="shared" si="0"/>
        <v>277552.03999999998</v>
      </c>
      <c r="E11" s="756"/>
      <c r="F11" s="788" t="str">
        <f t="shared" si="3"/>
        <v>----</v>
      </c>
      <c r="G11" s="756"/>
      <c r="H11" s="788" t="str">
        <f t="shared" si="1"/>
        <v>----</v>
      </c>
      <c r="I11" s="751"/>
      <c r="J11" s="789" t="str">
        <f t="shared" si="2"/>
        <v>----</v>
      </c>
    </row>
    <row r="12" spans="1:10">
      <c r="A12" s="102">
        <v>45706</v>
      </c>
      <c r="B12" s="738" t="s">
        <v>842</v>
      </c>
      <c r="C12" s="787">
        <v>449198.75</v>
      </c>
      <c r="D12" s="746">
        <f>C12</f>
        <v>449198.75</v>
      </c>
      <c r="E12" s="756"/>
      <c r="F12" s="788" t="str">
        <f t="shared" si="3"/>
        <v>----</v>
      </c>
      <c r="G12" s="756"/>
      <c r="H12" s="788" t="str">
        <f t="shared" si="1"/>
        <v>----</v>
      </c>
      <c r="I12" s="751"/>
      <c r="J12" s="789" t="str">
        <f t="shared" si="2"/>
        <v>----</v>
      </c>
    </row>
    <row r="13" spans="1:10">
      <c r="A13" s="102"/>
      <c r="B13" s="103"/>
      <c r="C13" s="787"/>
      <c r="D13" s="746"/>
      <c r="E13" s="756"/>
      <c r="F13" s="788" t="str">
        <f t="shared" si="3"/>
        <v>----</v>
      </c>
      <c r="G13" s="756"/>
      <c r="H13" s="788" t="str">
        <f t="shared" si="1"/>
        <v>----</v>
      </c>
      <c r="I13" s="751"/>
      <c r="J13" s="789" t="str">
        <f t="shared" si="2"/>
        <v>----</v>
      </c>
    </row>
    <row r="14" spans="1:10">
      <c r="A14" s="102"/>
      <c r="B14" s="103"/>
      <c r="C14" s="787"/>
      <c r="D14" s="746"/>
      <c r="E14" s="756"/>
      <c r="F14" s="788" t="str">
        <f t="shared" si="3"/>
        <v>----</v>
      </c>
      <c r="G14" s="756"/>
      <c r="H14" s="788" t="str">
        <f t="shared" si="1"/>
        <v>----</v>
      </c>
      <c r="I14" s="751"/>
      <c r="J14" s="789" t="str">
        <f t="shared" si="2"/>
        <v>----</v>
      </c>
    </row>
    <row r="15" spans="1:10">
      <c r="A15" s="102"/>
      <c r="B15" s="103"/>
      <c r="C15" s="787"/>
      <c r="D15" s="746"/>
      <c r="E15" s="756"/>
      <c r="F15" s="788" t="str">
        <f t="shared" si="3"/>
        <v>----</v>
      </c>
      <c r="G15" s="756"/>
      <c r="H15" s="788" t="str">
        <f t="shared" si="1"/>
        <v>----</v>
      </c>
      <c r="I15" s="751"/>
      <c r="J15" s="789" t="str">
        <f t="shared" si="2"/>
        <v>----</v>
      </c>
    </row>
    <row r="16" spans="1:10">
      <c r="A16" s="102"/>
      <c r="B16" s="103"/>
      <c r="C16" s="787"/>
      <c r="D16" s="746"/>
      <c r="E16" s="756"/>
      <c r="F16" s="788" t="str">
        <f t="shared" si="3"/>
        <v>----</v>
      </c>
      <c r="G16" s="756"/>
      <c r="H16" s="788" t="str">
        <f t="shared" si="1"/>
        <v>----</v>
      </c>
      <c r="I16" s="751"/>
      <c r="J16" s="789" t="str">
        <f t="shared" si="2"/>
        <v>----</v>
      </c>
    </row>
    <row r="17" spans="1:10">
      <c r="A17" s="102"/>
      <c r="B17" s="103"/>
      <c r="C17" s="787"/>
      <c r="D17" s="746"/>
      <c r="E17" s="756"/>
      <c r="F17" s="788" t="str">
        <f t="shared" si="3"/>
        <v>----</v>
      </c>
      <c r="G17" s="756"/>
      <c r="H17" s="788" t="str">
        <f t="shared" si="1"/>
        <v>----</v>
      </c>
      <c r="I17" s="751"/>
      <c r="J17" s="789" t="str">
        <f t="shared" si="2"/>
        <v>----</v>
      </c>
    </row>
    <row r="18" spans="1:10">
      <c r="A18" s="102"/>
      <c r="B18" s="103"/>
      <c r="C18" s="787"/>
      <c r="D18" s="746"/>
      <c r="E18" s="756"/>
      <c r="F18" s="788" t="str">
        <f t="shared" si="3"/>
        <v>----</v>
      </c>
      <c r="G18" s="756"/>
      <c r="H18" s="788" t="str">
        <f t="shared" si="1"/>
        <v>----</v>
      </c>
      <c r="I18" s="751"/>
      <c r="J18" s="789" t="str">
        <f t="shared" si="2"/>
        <v>----</v>
      </c>
    </row>
    <row r="19" spans="1:10">
      <c r="A19" s="102"/>
      <c r="B19" s="103"/>
      <c r="C19" s="787"/>
      <c r="D19" s="746"/>
      <c r="E19" s="756"/>
      <c r="F19" s="788" t="str">
        <f t="shared" si="3"/>
        <v>----</v>
      </c>
      <c r="G19" s="756"/>
      <c r="H19" s="788" t="str">
        <f t="shared" si="1"/>
        <v>----</v>
      </c>
      <c r="I19" s="751"/>
      <c r="J19" s="789" t="str">
        <f t="shared" si="2"/>
        <v>----</v>
      </c>
    </row>
    <row r="20" spans="1:10">
      <c r="A20" s="102"/>
      <c r="B20" s="103"/>
      <c r="C20" s="787"/>
      <c r="D20" s="746"/>
      <c r="E20" s="756"/>
      <c r="F20" s="788" t="str">
        <f t="shared" si="3"/>
        <v>----</v>
      </c>
      <c r="G20" s="756"/>
      <c r="H20" s="788" t="str">
        <f t="shared" si="1"/>
        <v>----</v>
      </c>
      <c r="I20" s="751"/>
      <c r="J20" s="789" t="str">
        <f t="shared" si="2"/>
        <v>----</v>
      </c>
    </row>
    <row r="21" spans="1:10">
      <c r="A21" s="102"/>
      <c r="B21" s="103"/>
      <c r="C21" s="787"/>
      <c r="D21" s="746"/>
      <c r="E21" s="756"/>
      <c r="F21" s="788" t="str">
        <f t="shared" si="3"/>
        <v>----</v>
      </c>
      <c r="G21" s="756"/>
      <c r="H21" s="788" t="str">
        <f t="shared" si="1"/>
        <v>----</v>
      </c>
      <c r="I21" s="751"/>
      <c r="J21" s="789" t="str">
        <f t="shared" si="2"/>
        <v>----</v>
      </c>
    </row>
    <row r="22" spans="1:10">
      <c r="A22" s="102"/>
      <c r="B22" s="103"/>
      <c r="C22" s="787"/>
      <c r="D22" s="746"/>
      <c r="E22" s="756"/>
      <c r="F22" s="788" t="str">
        <f t="shared" si="3"/>
        <v>----</v>
      </c>
      <c r="G22" s="756"/>
      <c r="H22" s="788" t="str">
        <f t="shared" si="1"/>
        <v>----</v>
      </c>
      <c r="I22" s="751"/>
      <c r="J22" s="789" t="str">
        <f t="shared" si="2"/>
        <v>----</v>
      </c>
    </row>
    <row r="23" spans="1:10">
      <c r="A23" s="102"/>
      <c r="B23" s="103"/>
      <c r="C23" s="787"/>
      <c r="D23" s="746"/>
      <c r="E23" s="756"/>
      <c r="F23" s="788" t="str">
        <f t="shared" si="3"/>
        <v>----</v>
      </c>
      <c r="G23" s="756"/>
      <c r="H23" s="788" t="str">
        <f t="shared" si="1"/>
        <v>----</v>
      </c>
      <c r="I23" s="751"/>
      <c r="J23" s="789" t="str">
        <f t="shared" si="2"/>
        <v>----</v>
      </c>
    </row>
    <row r="24" spans="1:10">
      <c r="A24" s="102"/>
      <c r="B24" s="103"/>
      <c r="C24" s="787"/>
      <c r="D24" s="746"/>
      <c r="E24" s="756"/>
      <c r="F24" s="788" t="str">
        <f t="shared" si="3"/>
        <v>----</v>
      </c>
      <c r="G24" s="756"/>
      <c r="H24" s="788" t="str">
        <f t="shared" si="1"/>
        <v>----</v>
      </c>
      <c r="I24" s="751"/>
      <c r="J24" s="789" t="str">
        <f t="shared" si="2"/>
        <v>----</v>
      </c>
    </row>
    <row r="25" spans="1:10">
      <c r="A25" s="102"/>
      <c r="B25" s="103"/>
      <c r="C25" s="787"/>
      <c r="D25" s="746"/>
      <c r="E25" s="756"/>
      <c r="F25" s="788" t="str">
        <f t="shared" si="3"/>
        <v>----</v>
      </c>
      <c r="G25" s="756"/>
      <c r="H25" s="788" t="str">
        <f t="shared" si="1"/>
        <v>----</v>
      </c>
      <c r="I25" s="751"/>
      <c r="J25" s="789" t="str">
        <f t="shared" si="2"/>
        <v>----</v>
      </c>
    </row>
    <row r="26" spans="1:10">
      <c r="A26" s="116"/>
      <c r="B26" s="117"/>
      <c r="C26" s="790"/>
      <c r="D26" s="807"/>
      <c r="E26" s="757"/>
      <c r="F26" s="791" t="str">
        <f t="shared" si="3"/>
        <v>----</v>
      </c>
      <c r="G26" s="757"/>
      <c r="H26" s="791" t="str">
        <f t="shared" si="1"/>
        <v>----</v>
      </c>
      <c r="I26" s="752"/>
      <c r="J26" s="792" t="str">
        <f t="shared" si="2"/>
        <v>----</v>
      </c>
    </row>
    <row r="27" spans="1:10" ht="15.75" thickBot="1">
      <c r="A27" s="74"/>
      <c r="B27" s="75"/>
      <c r="C27" s="800"/>
      <c r="D27" s="808"/>
      <c r="E27" s="814"/>
      <c r="F27" s="819" t="str">
        <f t="shared" si="3"/>
        <v>----</v>
      </c>
      <c r="G27" s="814"/>
      <c r="H27" s="819" t="str">
        <f t="shared" si="1"/>
        <v>----</v>
      </c>
      <c r="I27" s="811"/>
      <c r="J27" s="820" t="str">
        <f t="shared" si="2"/>
        <v>----</v>
      </c>
    </row>
    <row r="28" spans="1:10" ht="15.75" thickBot="1">
      <c r="A28" s="27"/>
      <c r="B28" s="27"/>
      <c r="C28" s="832"/>
      <c r="D28" s="832"/>
      <c r="E28" s="832"/>
      <c r="F28" s="833">
        <f>SUM(F4:F27)</f>
        <v>-74811.369999999937</v>
      </c>
      <c r="G28" s="832"/>
      <c r="H28" s="833">
        <f>SUM(H4:H27)</f>
        <v>0</v>
      </c>
      <c r="I28" s="832"/>
      <c r="J28" s="833">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N6" sqref="N6"/>
    </sheetView>
  </sheetViews>
  <sheetFormatPr defaultRowHeight="15"/>
  <cols>
    <col min="2" max="2" width="22.85546875" bestFit="1" customWidth="1"/>
    <col min="3" max="4" width="10.7109375" bestFit="1" customWidth="1"/>
    <col min="5" max="5" width="10.7109375" style="437" bestFit="1" customWidth="1"/>
    <col min="6" max="6" width="10.42578125" style="437" bestFit="1" customWidth="1"/>
    <col min="7" max="7" width="10.7109375" style="437" bestFit="1" customWidth="1"/>
    <col min="8" max="8" width="10.42578125" style="437" bestFit="1" customWidth="1"/>
    <col min="9" max="9" width="10.7109375" bestFit="1" customWidth="1"/>
    <col min="10" max="10" width="10.42578125" bestFit="1" customWidth="1"/>
  </cols>
  <sheetData>
    <row r="1" spans="1:11" ht="15.75" thickBot="1">
      <c r="A1" s="932" t="s">
        <v>264</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70">
        <v>44124</v>
      </c>
      <c r="B4" s="71" t="s">
        <v>314</v>
      </c>
      <c r="C4" s="72">
        <v>557106.05000000005</v>
      </c>
      <c r="D4" s="434">
        <f>C4</f>
        <v>557106.05000000005</v>
      </c>
      <c r="E4" s="474">
        <v>549318.63</v>
      </c>
      <c r="F4" s="475">
        <f>IF(ISBLANK(E4),"----",E4-$D4)</f>
        <v>-7787.4200000000419</v>
      </c>
      <c r="G4" s="474" t="s">
        <v>704</v>
      </c>
      <c r="H4" s="475" t="str">
        <f t="shared" ref="H4:H24" si="0">IF(OR(G4="Complete",ISBLANK(G4)),"----",G4-$D4)</f>
        <v>----</v>
      </c>
      <c r="I4" s="484" t="s">
        <v>704</v>
      </c>
      <c r="J4" s="73" t="str">
        <f t="shared" ref="J4:J24" si="1">IF(OR(I4="Complete",ISBLANK(I4)),"----",I4-$D4)</f>
        <v>----</v>
      </c>
    </row>
    <row r="5" spans="1:11">
      <c r="A5" s="88">
        <v>44153</v>
      </c>
      <c r="B5" s="101" t="s">
        <v>331</v>
      </c>
      <c r="C5" s="82">
        <v>569928.39</v>
      </c>
      <c r="D5" s="436">
        <f>C5</f>
        <v>569928.39</v>
      </c>
      <c r="E5" s="476">
        <v>566691.59</v>
      </c>
      <c r="F5" s="477">
        <f t="shared" ref="F5:F24" si="2">IF(ISBLANK(E5),"----",E5-$D5)</f>
        <v>-3236.8000000000466</v>
      </c>
      <c r="G5" s="476" t="s">
        <v>704</v>
      </c>
      <c r="H5" s="477" t="str">
        <f t="shared" si="0"/>
        <v>----</v>
      </c>
      <c r="I5" s="489" t="s">
        <v>704</v>
      </c>
      <c r="J5" s="83" t="str">
        <f t="shared" si="1"/>
        <v>----</v>
      </c>
    </row>
    <row r="6" spans="1:11">
      <c r="A6" s="102">
        <v>44516</v>
      </c>
      <c r="B6" s="103" t="s">
        <v>464</v>
      </c>
      <c r="C6" s="87">
        <v>858677.35</v>
      </c>
      <c r="D6" s="471">
        <f>C6</f>
        <v>858677.35</v>
      </c>
      <c r="E6" s="478"/>
      <c r="F6" s="490" t="str">
        <f t="shared" si="2"/>
        <v>----</v>
      </c>
      <c r="G6" s="478">
        <v>849466.78</v>
      </c>
      <c r="H6" s="490">
        <f t="shared" si="0"/>
        <v>-9210.5699999999488</v>
      </c>
      <c r="I6" s="491" t="s">
        <v>704</v>
      </c>
      <c r="J6" s="115" t="str">
        <f t="shared" si="1"/>
        <v>----</v>
      </c>
    </row>
    <row r="7" spans="1:11">
      <c r="A7" s="102">
        <v>44880</v>
      </c>
      <c r="B7" s="103" t="s">
        <v>591</v>
      </c>
      <c r="C7" s="87">
        <v>649706.69999999995</v>
      </c>
      <c r="D7" s="471">
        <f>C7</f>
        <v>649706.69999999995</v>
      </c>
      <c r="E7" s="478"/>
      <c r="F7" s="490" t="str">
        <f t="shared" si="2"/>
        <v>----</v>
      </c>
      <c r="G7" s="478"/>
      <c r="H7" s="490" t="str">
        <f t="shared" si="0"/>
        <v>----</v>
      </c>
      <c r="I7" s="491"/>
      <c r="J7" s="115" t="str">
        <f t="shared" si="1"/>
        <v>----</v>
      </c>
    </row>
    <row r="8" spans="1:11">
      <c r="A8" s="102">
        <v>45308</v>
      </c>
      <c r="B8" s="103" t="s">
        <v>709</v>
      </c>
      <c r="C8" s="87">
        <v>684652.45</v>
      </c>
      <c r="D8" s="471">
        <v>0</v>
      </c>
      <c r="E8" s="478"/>
      <c r="F8" s="490" t="str">
        <f t="shared" si="2"/>
        <v>----</v>
      </c>
      <c r="G8" s="478"/>
      <c r="H8" s="490" t="str">
        <f t="shared" si="0"/>
        <v>----</v>
      </c>
      <c r="I8" s="491"/>
      <c r="J8" s="115" t="str">
        <f t="shared" si="1"/>
        <v>----</v>
      </c>
      <c r="K8" t="s">
        <v>710</v>
      </c>
    </row>
    <row r="9" spans="1:11">
      <c r="A9" s="102"/>
      <c r="B9" s="103"/>
      <c r="C9" s="87"/>
      <c r="D9" s="471"/>
      <c r="E9" s="478"/>
      <c r="F9" s="490" t="str">
        <f t="shared" si="2"/>
        <v>----</v>
      </c>
      <c r="G9" s="478"/>
      <c r="H9" s="490" t="str">
        <f t="shared" si="0"/>
        <v>----</v>
      </c>
      <c r="I9" s="491"/>
      <c r="J9" s="115" t="str">
        <f t="shared" si="1"/>
        <v>----</v>
      </c>
    </row>
    <row r="10" spans="1:11">
      <c r="A10" s="102"/>
      <c r="B10" s="103"/>
      <c r="C10" s="87"/>
      <c r="D10" s="471"/>
      <c r="E10" s="478"/>
      <c r="F10" s="490" t="str">
        <f t="shared" si="2"/>
        <v>----</v>
      </c>
      <c r="G10" s="478"/>
      <c r="H10" s="490" t="str">
        <f t="shared" si="0"/>
        <v>----</v>
      </c>
      <c r="I10" s="491"/>
      <c r="J10" s="115" t="str">
        <f t="shared" si="1"/>
        <v>----</v>
      </c>
    </row>
    <row r="11" spans="1:11">
      <c r="A11" s="102"/>
      <c r="B11" s="103"/>
      <c r="C11" s="87"/>
      <c r="D11" s="471"/>
      <c r="E11" s="478"/>
      <c r="F11" s="490" t="str">
        <f t="shared" si="2"/>
        <v>----</v>
      </c>
      <c r="G11" s="478"/>
      <c r="H11" s="490" t="str">
        <f t="shared" si="0"/>
        <v>----</v>
      </c>
      <c r="I11" s="491"/>
      <c r="J11" s="115" t="str">
        <f t="shared" si="1"/>
        <v>----</v>
      </c>
    </row>
    <row r="12" spans="1:11">
      <c r="A12" s="102"/>
      <c r="B12" s="103"/>
      <c r="C12" s="87"/>
      <c r="D12" s="471"/>
      <c r="E12" s="478"/>
      <c r="F12" s="490" t="str">
        <f t="shared" si="2"/>
        <v>----</v>
      </c>
      <c r="G12" s="478"/>
      <c r="H12" s="490" t="str">
        <f t="shared" si="0"/>
        <v>----</v>
      </c>
      <c r="I12" s="491"/>
      <c r="J12" s="115" t="str">
        <f t="shared" si="1"/>
        <v>----</v>
      </c>
    </row>
    <row r="13" spans="1:11">
      <c r="A13" s="102"/>
      <c r="B13" s="103"/>
      <c r="C13" s="87"/>
      <c r="D13" s="471"/>
      <c r="E13" s="478"/>
      <c r="F13" s="490" t="str">
        <f t="shared" si="2"/>
        <v>----</v>
      </c>
      <c r="G13" s="478"/>
      <c r="H13" s="490" t="str">
        <f t="shared" si="0"/>
        <v>----</v>
      </c>
      <c r="I13" s="491"/>
      <c r="J13" s="115" t="str">
        <f t="shared" si="1"/>
        <v>----</v>
      </c>
    </row>
    <row r="14" spans="1:11">
      <c r="A14" s="102"/>
      <c r="B14" s="103"/>
      <c r="C14" s="87"/>
      <c r="D14" s="471"/>
      <c r="E14" s="478"/>
      <c r="F14" s="490" t="str">
        <f t="shared" si="2"/>
        <v>----</v>
      </c>
      <c r="G14" s="478"/>
      <c r="H14" s="490" t="str">
        <f t="shared" si="0"/>
        <v>----</v>
      </c>
      <c r="I14" s="491"/>
      <c r="J14" s="115" t="str">
        <f t="shared" si="1"/>
        <v>----</v>
      </c>
    </row>
    <row r="15" spans="1:11">
      <c r="A15" s="102"/>
      <c r="B15" s="103"/>
      <c r="C15" s="87"/>
      <c r="D15" s="471"/>
      <c r="E15" s="478"/>
      <c r="F15" s="490" t="str">
        <f t="shared" si="2"/>
        <v>----</v>
      </c>
      <c r="G15" s="478"/>
      <c r="H15" s="490" t="str">
        <f t="shared" si="0"/>
        <v>----</v>
      </c>
      <c r="I15" s="491"/>
      <c r="J15" s="115" t="str">
        <f t="shared" si="1"/>
        <v>----</v>
      </c>
    </row>
    <row r="16" spans="1:11">
      <c r="A16" s="102"/>
      <c r="B16" s="103"/>
      <c r="C16" s="87"/>
      <c r="D16" s="471"/>
      <c r="E16" s="478"/>
      <c r="F16" s="490" t="str">
        <f t="shared" si="2"/>
        <v>----</v>
      </c>
      <c r="G16" s="478"/>
      <c r="H16" s="490" t="str">
        <f t="shared" si="0"/>
        <v>----</v>
      </c>
      <c r="I16" s="491"/>
      <c r="J16" s="115" t="str">
        <f t="shared" si="1"/>
        <v>----</v>
      </c>
    </row>
    <row r="17" spans="1:10">
      <c r="A17" s="102"/>
      <c r="B17" s="103"/>
      <c r="C17" s="87"/>
      <c r="D17" s="471"/>
      <c r="E17" s="478"/>
      <c r="F17" s="490" t="str">
        <f t="shared" si="2"/>
        <v>----</v>
      </c>
      <c r="G17" s="478"/>
      <c r="H17" s="490" t="str">
        <f t="shared" si="0"/>
        <v>----</v>
      </c>
      <c r="I17" s="491"/>
      <c r="J17" s="115" t="str">
        <f t="shared" si="1"/>
        <v>----</v>
      </c>
    </row>
    <row r="18" spans="1:10">
      <c r="A18" s="102"/>
      <c r="B18" s="103"/>
      <c r="C18" s="87"/>
      <c r="D18" s="471"/>
      <c r="E18" s="478"/>
      <c r="F18" s="490" t="str">
        <f t="shared" si="2"/>
        <v>----</v>
      </c>
      <c r="G18" s="478"/>
      <c r="H18" s="490" t="str">
        <f t="shared" si="0"/>
        <v>----</v>
      </c>
      <c r="I18" s="491"/>
      <c r="J18" s="115" t="str">
        <f t="shared" si="1"/>
        <v>----</v>
      </c>
    </row>
    <row r="19" spans="1:10">
      <c r="A19" s="102"/>
      <c r="B19" s="103"/>
      <c r="C19" s="87"/>
      <c r="D19" s="471"/>
      <c r="E19" s="478"/>
      <c r="F19" s="490" t="str">
        <f t="shared" si="2"/>
        <v>----</v>
      </c>
      <c r="G19" s="478"/>
      <c r="H19" s="490" t="str">
        <f t="shared" si="0"/>
        <v>----</v>
      </c>
      <c r="I19" s="491"/>
      <c r="J19" s="115" t="str">
        <f t="shared" si="1"/>
        <v>----</v>
      </c>
    </row>
    <row r="20" spans="1:10">
      <c r="A20" s="102"/>
      <c r="B20" s="103"/>
      <c r="C20" s="87"/>
      <c r="D20" s="471"/>
      <c r="E20" s="478"/>
      <c r="F20" s="490" t="str">
        <f t="shared" si="2"/>
        <v>----</v>
      </c>
      <c r="G20" s="478"/>
      <c r="H20" s="490" t="str">
        <f t="shared" si="0"/>
        <v>----</v>
      </c>
      <c r="I20" s="491"/>
      <c r="J20" s="115" t="str">
        <f t="shared" si="1"/>
        <v>----</v>
      </c>
    </row>
    <row r="21" spans="1:10">
      <c r="A21" s="102"/>
      <c r="B21" s="103"/>
      <c r="C21" s="87"/>
      <c r="D21" s="471"/>
      <c r="E21" s="478"/>
      <c r="F21" s="490" t="str">
        <f t="shared" si="2"/>
        <v>----</v>
      </c>
      <c r="G21" s="478"/>
      <c r="H21" s="490" t="str">
        <f t="shared" si="0"/>
        <v>----</v>
      </c>
      <c r="I21" s="491"/>
      <c r="J21" s="115" t="str">
        <f t="shared" si="1"/>
        <v>----</v>
      </c>
    </row>
    <row r="22" spans="1:10">
      <c r="A22" s="102"/>
      <c r="B22" s="103"/>
      <c r="C22" s="87"/>
      <c r="D22" s="471"/>
      <c r="E22" s="478"/>
      <c r="F22" s="490" t="str">
        <f t="shared" si="2"/>
        <v>----</v>
      </c>
      <c r="G22" s="478"/>
      <c r="H22" s="490" t="str">
        <f t="shared" si="0"/>
        <v>----</v>
      </c>
      <c r="I22" s="491"/>
      <c r="J22" s="115" t="str">
        <f t="shared" si="1"/>
        <v>----</v>
      </c>
    </row>
    <row r="23" spans="1:10">
      <c r="A23" s="102"/>
      <c r="B23" s="103"/>
      <c r="C23" s="87"/>
      <c r="D23" s="471"/>
      <c r="E23" s="478"/>
      <c r="F23" s="490" t="str">
        <f t="shared" si="2"/>
        <v>----</v>
      </c>
      <c r="G23" s="478"/>
      <c r="H23" s="490" t="str">
        <f t="shared" si="0"/>
        <v>----</v>
      </c>
      <c r="I23" s="491"/>
      <c r="J23" s="115" t="str">
        <f t="shared" si="1"/>
        <v>----</v>
      </c>
    </row>
    <row r="24" spans="1:10" ht="15.75" thickBot="1">
      <c r="A24" s="230"/>
      <c r="B24" s="78"/>
      <c r="C24" s="79"/>
      <c r="D24" s="555"/>
      <c r="E24" s="557"/>
      <c r="F24" s="558" t="str">
        <f t="shared" si="2"/>
        <v>----</v>
      </c>
      <c r="G24" s="557"/>
      <c r="H24" s="558" t="str">
        <f t="shared" si="0"/>
        <v>----</v>
      </c>
      <c r="I24" s="556"/>
      <c r="J24" s="80" t="str">
        <f t="shared" si="1"/>
        <v>----</v>
      </c>
    </row>
    <row r="25" spans="1:10" ht="15.75" thickBot="1">
      <c r="A25" s="27"/>
      <c r="B25" s="27"/>
      <c r="C25" s="28"/>
      <c r="D25" s="28"/>
      <c r="E25" s="444"/>
      <c r="F25" s="446">
        <f>SUM(F4:F24)</f>
        <v>-11024.220000000088</v>
      </c>
      <c r="G25" s="444"/>
      <c r="H25" s="446">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6" sqref="I6"/>
    </sheetView>
  </sheetViews>
  <sheetFormatPr defaultRowHeight="15"/>
  <cols>
    <col min="2" max="2" width="22.85546875" bestFit="1" customWidth="1"/>
    <col min="3" max="4" width="12" bestFit="1" customWidth="1"/>
    <col min="5" max="5" width="10.7109375" style="437" bestFit="1" customWidth="1"/>
    <col min="6" max="6" width="11.5703125" style="437" customWidth="1"/>
    <col min="7" max="7" width="12" style="437" bestFit="1" customWidth="1"/>
    <col min="8" max="8" width="11.5703125" style="437" customWidth="1"/>
    <col min="9" max="9" width="12" bestFit="1" customWidth="1"/>
    <col min="10" max="10" width="11.5703125" customWidth="1"/>
  </cols>
  <sheetData>
    <row r="1" spans="1:10" ht="15.75" thickBot="1">
      <c r="A1" s="932" t="s">
        <v>265</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44520</v>
      </c>
      <c r="B4" s="71" t="s">
        <v>376</v>
      </c>
      <c r="C4" s="72">
        <v>646553.59999999998</v>
      </c>
      <c r="D4" s="434">
        <f>C4</f>
        <v>646553.59999999998</v>
      </c>
      <c r="E4" s="474">
        <v>645798.68000000005</v>
      </c>
      <c r="F4" s="475">
        <f>IF(ISBLANK(E4),"----",E4-$D4)</f>
        <v>-754.91999999992549</v>
      </c>
      <c r="G4" s="474" t="s">
        <v>704</v>
      </c>
      <c r="H4" s="475" t="str">
        <f t="shared" ref="H4:H17" si="0">IF(OR(G4="Complete",ISBLANK(G4)),"----",G4-$D4)</f>
        <v>----</v>
      </c>
      <c r="I4" s="484" t="s">
        <v>704</v>
      </c>
      <c r="J4" s="73" t="str">
        <f t="shared" ref="J4:J17" si="1">IF(OR(I4="Complete",ISBLANK(I4)),"----",I4-$D4)</f>
        <v>----</v>
      </c>
    </row>
    <row r="5" spans="1:10">
      <c r="A5" s="88">
        <v>44488</v>
      </c>
      <c r="B5" s="101" t="s">
        <v>459</v>
      </c>
      <c r="C5" s="82">
        <v>1199626.81</v>
      </c>
      <c r="D5" s="436">
        <f>C5</f>
        <v>1199626.81</v>
      </c>
      <c r="E5" s="476"/>
      <c r="F5" s="477" t="str">
        <f t="shared" ref="F5:F17" si="2">IF(ISBLANK(E5),"----",E5-$D5)</f>
        <v>----</v>
      </c>
      <c r="G5" s="476">
        <v>1161644.83</v>
      </c>
      <c r="H5" s="477">
        <f t="shared" si="0"/>
        <v>-37981.979999999981</v>
      </c>
      <c r="I5" s="489" t="s">
        <v>704</v>
      </c>
      <c r="J5" s="83" t="str">
        <f t="shared" si="1"/>
        <v>----</v>
      </c>
    </row>
    <row r="6" spans="1:10">
      <c r="A6" s="91">
        <v>44733</v>
      </c>
      <c r="B6" s="92" t="s">
        <v>537</v>
      </c>
      <c r="C6" s="84">
        <v>1595719.15</v>
      </c>
      <c r="D6" s="482">
        <f>C6</f>
        <v>1595719.15</v>
      </c>
      <c r="E6" s="487"/>
      <c r="F6" s="488" t="str">
        <f t="shared" si="2"/>
        <v>----</v>
      </c>
      <c r="G6" s="487"/>
      <c r="H6" s="488" t="str">
        <f t="shared" si="0"/>
        <v>----</v>
      </c>
      <c r="I6" s="485"/>
      <c r="J6" s="85" t="str">
        <f t="shared" si="1"/>
        <v>----</v>
      </c>
    </row>
    <row r="7" spans="1:10">
      <c r="A7" s="88">
        <v>45342</v>
      </c>
      <c r="B7" s="453" t="s">
        <v>730</v>
      </c>
      <c r="C7" s="377">
        <v>144699.20000000001</v>
      </c>
      <c r="D7" s="573">
        <f>C7</f>
        <v>144699.20000000001</v>
      </c>
      <c r="E7" s="476"/>
      <c r="F7" s="477" t="str">
        <f t="shared" si="2"/>
        <v>----</v>
      </c>
      <c r="G7" s="476"/>
      <c r="H7" s="477" t="str">
        <f t="shared" si="0"/>
        <v>----</v>
      </c>
      <c r="I7" s="489"/>
      <c r="J7" s="83" t="str">
        <f t="shared" si="1"/>
        <v>----</v>
      </c>
    </row>
    <row r="8" spans="1:10">
      <c r="A8" s="91"/>
      <c r="B8" s="92"/>
      <c r="C8" s="84"/>
      <c r="D8" s="482"/>
      <c r="E8" s="487"/>
      <c r="F8" s="488" t="str">
        <f t="shared" si="2"/>
        <v>----</v>
      </c>
      <c r="G8" s="487"/>
      <c r="H8" s="488" t="str">
        <f t="shared" si="0"/>
        <v>----</v>
      </c>
      <c r="I8" s="485"/>
      <c r="J8" s="85" t="str">
        <f t="shared" si="1"/>
        <v>----</v>
      </c>
    </row>
    <row r="9" spans="1:10">
      <c r="A9" s="88"/>
      <c r="B9" s="101"/>
      <c r="C9" s="82"/>
      <c r="D9" s="436"/>
      <c r="E9" s="476"/>
      <c r="F9" s="477" t="str">
        <f t="shared" si="2"/>
        <v>----</v>
      </c>
      <c r="G9" s="476"/>
      <c r="H9" s="477" t="str">
        <f t="shared" si="0"/>
        <v>----</v>
      </c>
      <c r="I9" s="489"/>
      <c r="J9" s="83" t="str">
        <f t="shared" si="1"/>
        <v>----</v>
      </c>
    </row>
    <row r="10" spans="1:10">
      <c r="A10" s="91"/>
      <c r="B10" s="92"/>
      <c r="C10" s="84"/>
      <c r="D10" s="482"/>
      <c r="E10" s="487"/>
      <c r="F10" s="488" t="str">
        <f t="shared" si="2"/>
        <v>----</v>
      </c>
      <c r="G10" s="487"/>
      <c r="H10" s="488" t="str">
        <f t="shared" si="0"/>
        <v>----</v>
      </c>
      <c r="I10" s="485"/>
      <c r="J10" s="85" t="str">
        <f t="shared" si="1"/>
        <v>----</v>
      </c>
    </row>
    <row r="11" spans="1:10">
      <c r="A11" s="88"/>
      <c r="B11" s="101"/>
      <c r="C11" s="82"/>
      <c r="D11" s="436"/>
      <c r="E11" s="476"/>
      <c r="F11" s="477" t="str">
        <f t="shared" si="2"/>
        <v>----</v>
      </c>
      <c r="G11" s="476"/>
      <c r="H11" s="477" t="str">
        <f t="shared" si="0"/>
        <v>----</v>
      </c>
      <c r="I11" s="489"/>
      <c r="J11" s="83" t="str">
        <f t="shared" si="1"/>
        <v>----</v>
      </c>
    </row>
    <row r="12" spans="1:10">
      <c r="A12" s="91"/>
      <c r="B12" s="92"/>
      <c r="C12" s="84"/>
      <c r="D12" s="482"/>
      <c r="E12" s="487"/>
      <c r="F12" s="488" t="str">
        <f t="shared" si="2"/>
        <v>----</v>
      </c>
      <c r="G12" s="487"/>
      <c r="H12" s="488" t="str">
        <f t="shared" si="0"/>
        <v>----</v>
      </c>
      <c r="I12" s="485"/>
      <c r="J12" s="85" t="str">
        <f t="shared" si="1"/>
        <v>----</v>
      </c>
    </row>
    <row r="13" spans="1:10">
      <c r="A13" s="88"/>
      <c r="B13" s="101"/>
      <c r="C13" s="82"/>
      <c r="D13" s="436"/>
      <c r="E13" s="476"/>
      <c r="F13" s="477" t="str">
        <f t="shared" si="2"/>
        <v>----</v>
      </c>
      <c r="G13" s="476"/>
      <c r="H13" s="477" t="str">
        <f t="shared" si="0"/>
        <v>----</v>
      </c>
      <c r="I13" s="489"/>
      <c r="J13" s="83" t="str">
        <f t="shared" si="1"/>
        <v>----</v>
      </c>
    </row>
    <row r="14" spans="1:10">
      <c r="A14" s="91"/>
      <c r="B14" s="92"/>
      <c r="C14" s="84"/>
      <c r="D14" s="482"/>
      <c r="E14" s="487"/>
      <c r="F14" s="488" t="str">
        <f t="shared" si="2"/>
        <v>----</v>
      </c>
      <c r="G14" s="487"/>
      <c r="H14" s="488" t="str">
        <f t="shared" si="0"/>
        <v>----</v>
      </c>
      <c r="I14" s="485"/>
      <c r="J14" s="85" t="str">
        <f t="shared" si="1"/>
        <v>----</v>
      </c>
    </row>
    <row r="15" spans="1:10">
      <c r="A15" s="88"/>
      <c r="B15" s="101"/>
      <c r="C15" s="82"/>
      <c r="D15" s="436"/>
      <c r="E15" s="476"/>
      <c r="F15" s="477" t="str">
        <f t="shared" si="2"/>
        <v>----</v>
      </c>
      <c r="G15" s="476"/>
      <c r="H15" s="477" t="str">
        <f t="shared" si="0"/>
        <v>----</v>
      </c>
      <c r="I15" s="489"/>
      <c r="J15" s="83" t="str">
        <f t="shared" si="1"/>
        <v>----</v>
      </c>
    </row>
    <row r="16" spans="1:10">
      <c r="A16" s="91"/>
      <c r="B16" s="92"/>
      <c r="C16" s="84"/>
      <c r="D16" s="482"/>
      <c r="E16" s="487"/>
      <c r="F16" s="488" t="str">
        <f t="shared" si="2"/>
        <v>----</v>
      </c>
      <c r="G16" s="487"/>
      <c r="H16" s="488" t="str">
        <f t="shared" si="0"/>
        <v>----</v>
      </c>
      <c r="I16" s="485"/>
      <c r="J16" s="85" t="str">
        <f t="shared" si="1"/>
        <v>----</v>
      </c>
    </row>
    <row r="17" spans="1:10" ht="15.75" thickBot="1">
      <c r="A17" s="74"/>
      <c r="B17" s="75"/>
      <c r="C17" s="76"/>
      <c r="D17" s="435"/>
      <c r="E17" s="480"/>
      <c r="F17" s="481" t="str">
        <f t="shared" si="2"/>
        <v>----</v>
      </c>
      <c r="G17" s="480"/>
      <c r="H17" s="481" t="str">
        <f t="shared" si="0"/>
        <v>----</v>
      </c>
      <c r="I17" s="486"/>
      <c r="J17" s="77" t="str">
        <f t="shared" si="1"/>
        <v>----</v>
      </c>
    </row>
    <row r="18" spans="1:10" ht="15.75" thickBot="1">
      <c r="A18" s="27"/>
      <c r="B18" s="27"/>
      <c r="C18" s="28"/>
      <c r="D18" s="28"/>
      <c r="E18" s="444"/>
      <c r="F18" s="446">
        <f>SUM(F4:F17)</f>
        <v>-754.91999999992549</v>
      </c>
      <c r="G18" s="444"/>
      <c r="H18" s="446">
        <f>SUM(H4:H17)</f>
        <v>-37981.979999999981</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7" bestFit="1" customWidth="1"/>
    <col min="6" max="6" width="12.28515625" style="437" bestFit="1" customWidth="1"/>
    <col min="7" max="7" width="9.5703125" style="437" bestFit="1" customWidth="1"/>
    <col min="8" max="8" width="12.140625" style="437" bestFit="1" customWidth="1"/>
    <col min="9" max="9" width="9.5703125" bestFit="1" customWidth="1"/>
    <col min="10" max="10" width="12.140625" bestFit="1" customWidth="1"/>
  </cols>
  <sheetData>
    <row r="1" spans="1:11" ht="15.75" thickBot="1">
      <c r="A1" s="932" t="s">
        <v>125</v>
      </c>
      <c r="B1" s="933"/>
      <c r="C1" s="933"/>
      <c r="D1" s="933"/>
      <c r="E1" s="933"/>
      <c r="F1" s="933"/>
      <c r="G1" s="933"/>
      <c r="H1" s="933"/>
      <c r="I1" s="933"/>
      <c r="J1" s="934"/>
    </row>
    <row r="2" spans="1:11" s="437" customForma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705</v>
      </c>
      <c r="G3" s="465" t="s">
        <v>121</v>
      </c>
      <c r="H3" s="473" t="s">
        <v>705</v>
      </c>
      <c r="I3" s="483" t="s">
        <v>121</v>
      </c>
      <c r="J3" s="25" t="s">
        <v>705</v>
      </c>
    </row>
    <row r="4" spans="1:11">
      <c r="A4" s="93">
        <v>43970</v>
      </c>
      <c r="B4" s="94" t="s">
        <v>115</v>
      </c>
      <c r="C4" s="629">
        <f>640781.26/2</f>
        <v>320390.63</v>
      </c>
      <c r="D4" s="630">
        <f>C4</f>
        <v>320390.63</v>
      </c>
      <c r="E4" s="631">
        <f>625333.47/2</f>
        <v>312666.73499999999</v>
      </c>
      <c r="F4" s="632">
        <f>IF(ISBLANK(E4),"----",E4-$D4)</f>
        <v>-7723.8950000000186</v>
      </c>
      <c r="G4" s="631" t="s">
        <v>704</v>
      </c>
      <c r="H4" s="632" t="str">
        <f t="shared" ref="H4:H15" si="0">IF(OR(G4="Complete",ISBLANK(G4)),"----",G4-$D4)</f>
        <v>----</v>
      </c>
      <c r="I4" s="633" t="s">
        <v>704</v>
      </c>
      <c r="J4" s="634" t="str">
        <f t="shared" ref="J4:J15" si="1">IF(OR(I4="Complete",ISBLANK(I4)),"----",I4-$D4)</f>
        <v>----</v>
      </c>
      <c r="K4" t="s">
        <v>131</v>
      </c>
    </row>
    <row r="5" spans="1:11">
      <c r="A5" s="204">
        <v>45034</v>
      </c>
      <c r="B5" s="101" t="s">
        <v>644</v>
      </c>
      <c r="C5" s="635">
        <v>538162.19999999995</v>
      </c>
      <c r="D5" s="636">
        <f>C5</f>
        <v>538162.19999999995</v>
      </c>
      <c r="E5" s="637"/>
      <c r="F5" s="638" t="str">
        <f t="shared" ref="F5:F15" si="2">IF(ISBLANK(E5),"----",E5-$D5)</f>
        <v>----</v>
      </c>
      <c r="G5" s="637"/>
      <c r="H5" s="638" t="str">
        <f t="shared" si="0"/>
        <v>----</v>
      </c>
      <c r="I5" s="639"/>
      <c r="J5" s="640" t="str">
        <f t="shared" si="1"/>
        <v>----</v>
      </c>
    </row>
    <row r="6" spans="1:11">
      <c r="A6" s="374">
        <v>45461</v>
      </c>
      <c r="B6" s="455" t="s">
        <v>759</v>
      </c>
      <c r="C6" s="641">
        <v>772782.78</v>
      </c>
      <c r="D6" s="642">
        <f>C6</f>
        <v>772782.78</v>
      </c>
      <c r="E6" s="643"/>
      <c r="F6" s="644" t="str">
        <f t="shared" si="2"/>
        <v>----</v>
      </c>
      <c r="G6" s="643"/>
      <c r="H6" s="644" t="str">
        <f t="shared" si="0"/>
        <v>----</v>
      </c>
      <c r="I6" s="645"/>
      <c r="J6" s="646" t="str">
        <f t="shared" si="1"/>
        <v>----</v>
      </c>
    </row>
    <row r="7" spans="1:11">
      <c r="A7" s="374"/>
      <c r="B7" s="103"/>
      <c r="C7" s="641"/>
      <c r="D7" s="647"/>
      <c r="E7" s="643"/>
      <c r="F7" s="644" t="str">
        <f t="shared" si="2"/>
        <v>----</v>
      </c>
      <c r="G7" s="643"/>
      <c r="H7" s="644" t="str">
        <f t="shared" si="0"/>
        <v>----</v>
      </c>
      <c r="I7" s="645"/>
      <c r="J7" s="646" t="str">
        <f t="shared" si="1"/>
        <v>----</v>
      </c>
    </row>
    <row r="8" spans="1:11">
      <c r="A8" s="374"/>
      <c r="B8" s="103"/>
      <c r="C8" s="641"/>
      <c r="D8" s="647"/>
      <c r="E8" s="643"/>
      <c r="F8" s="644" t="str">
        <f t="shared" si="2"/>
        <v>----</v>
      </c>
      <c r="G8" s="643"/>
      <c r="H8" s="644" t="str">
        <f t="shared" si="0"/>
        <v>----</v>
      </c>
      <c r="I8" s="645"/>
      <c r="J8" s="646" t="str">
        <f t="shared" si="1"/>
        <v>----</v>
      </c>
    </row>
    <row r="9" spans="1:11">
      <c r="A9" s="374"/>
      <c r="B9" s="103"/>
      <c r="C9" s="641"/>
      <c r="D9" s="647"/>
      <c r="E9" s="643"/>
      <c r="F9" s="644" t="str">
        <f t="shared" si="2"/>
        <v>----</v>
      </c>
      <c r="G9" s="643"/>
      <c r="H9" s="644" t="str">
        <f t="shared" si="0"/>
        <v>----</v>
      </c>
      <c r="I9" s="645"/>
      <c r="J9" s="646" t="str">
        <f t="shared" si="1"/>
        <v>----</v>
      </c>
    </row>
    <row r="10" spans="1:11">
      <c r="A10" s="374"/>
      <c r="B10" s="103"/>
      <c r="C10" s="641"/>
      <c r="D10" s="647"/>
      <c r="E10" s="643"/>
      <c r="F10" s="644" t="str">
        <f t="shared" si="2"/>
        <v>----</v>
      </c>
      <c r="G10" s="643"/>
      <c r="H10" s="644" t="str">
        <f t="shared" si="0"/>
        <v>----</v>
      </c>
      <c r="I10" s="645"/>
      <c r="J10" s="646" t="str">
        <f t="shared" si="1"/>
        <v>----</v>
      </c>
    </row>
    <row r="11" spans="1:11">
      <c r="A11" s="374"/>
      <c r="B11" s="103"/>
      <c r="C11" s="641"/>
      <c r="D11" s="647"/>
      <c r="E11" s="643"/>
      <c r="F11" s="644" t="str">
        <f t="shared" si="2"/>
        <v>----</v>
      </c>
      <c r="G11" s="643"/>
      <c r="H11" s="644" t="str">
        <f t="shared" si="0"/>
        <v>----</v>
      </c>
      <c r="I11" s="645"/>
      <c r="J11" s="646" t="str">
        <f t="shared" si="1"/>
        <v>----</v>
      </c>
    </row>
    <row r="12" spans="1:11">
      <c r="A12" s="374"/>
      <c r="B12" s="103"/>
      <c r="C12" s="641"/>
      <c r="D12" s="647"/>
      <c r="E12" s="643"/>
      <c r="F12" s="644" t="str">
        <f t="shared" si="2"/>
        <v>----</v>
      </c>
      <c r="G12" s="643"/>
      <c r="H12" s="644" t="str">
        <f t="shared" si="0"/>
        <v>----</v>
      </c>
      <c r="I12" s="645"/>
      <c r="J12" s="646" t="str">
        <f t="shared" si="1"/>
        <v>----</v>
      </c>
    </row>
    <row r="13" spans="1:11">
      <c r="A13" s="374"/>
      <c r="B13" s="103"/>
      <c r="C13" s="641"/>
      <c r="D13" s="647"/>
      <c r="E13" s="643"/>
      <c r="F13" s="644" t="str">
        <f t="shared" si="2"/>
        <v>----</v>
      </c>
      <c r="G13" s="643"/>
      <c r="H13" s="644" t="str">
        <f t="shared" si="0"/>
        <v>----</v>
      </c>
      <c r="I13" s="645"/>
      <c r="J13" s="646" t="str">
        <f t="shared" si="1"/>
        <v>----</v>
      </c>
    </row>
    <row r="14" spans="1:11">
      <c r="A14" s="91"/>
      <c r="B14" s="92"/>
      <c r="C14" s="619"/>
      <c r="D14" s="620"/>
      <c r="E14" s="621"/>
      <c r="F14" s="622" t="str">
        <f t="shared" si="2"/>
        <v>----</v>
      </c>
      <c r="G14" s="621"/>
      <c r="H14" s="622" t="str">
        <f t="shared" si="0"/>
        <v>----</v>
      </c>
      <c r="I14" s="623"/>
      <c r="J14" s="624" t="str">
        <f t="shared" si="1"/>
        <v>----</v>
      </c>
    </row>
    <row r="15" spans="1:11" ht="15.75" thickBot="1">
      <c r="A15" s="74"/>
      <c r="B15" s="75"/>
      <c r="C15" s="376"/>
      <c r="D15" s="536"/>
      <c r="E15" s="625"/>
      <c r="F15" s="626" t="str">
        <f t="shared" si="2"/>
        <v>----</v>
      </c>
      <c r="G15" s="625"/>
      <c r="H15" s="626" t="str">
        <f t="shared" si="0"/>
        <v>----</v>
      </c>
      <c r="I15" s="627"/>
      <c r="J15" s="628" t="str">
        <f t="shared" si="1"/>
        <v>----</v>
      </c>
    </row>
    <row r="16" spans="1:11" ht="15.75" thickBot="1">
      <c r="A16" s="27"/>
      <c r="B16" s="27"/>
      <c r="C16" s="28"/>
      <c r="D16" s="28"/>
      <c r="E16" s="444"/>
      <c r="F16" s="446">
        <f>SUM(F4:F15)</f>
        <v>-7723.8950000000186</v>
      </c>
      <c r="G16" s="444"/>
      <c r="H16" s="446">
        <f>SUM(H4:H15)</f>
        <v>0</v>
      </c>
      <c r="I16" s="28"/>
      <c r="J16" s="69">
        <f>SUM(J4:J15)</f>
        <v>0</v>
      </c>
    </row>
    <row r="17" spans="1:10">
      <c r="A17" s="29"/>
      <c r="B17" s="29"/>
      <c r="C17" s="29"/>
      <c r="D17" s="29"/>
      <c r="E17" s="445"/>
      <c r="F17" s="445"/>
      <c r="G17" s="445"/>
      <c r="H17" s="445"/>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7" bestFit="1" customWidth="1"/>
    <col min="6" max="6" width="14.5703125" style="437" customWidth="1"/>
    <col min="7" max="7" width="10.140625" style="437" bestFit="1" customWidth="1"/>
    <col min="8" max="8" width="14.5703125" style="437" customWidth="1"/>
    <col min="9" max="9" width="10.140625" bestFit="1" customWidth="1"/>
    <col min="10" max="10" width="14.5703125" customWidth="1"/>
    <col min="12" max="12" width="12.5703125" bestFit="1" customWidth="1"/>
  </cols>
  <sheetData>
    <row r="1" spans="1:12" ht="15.75" thickBot="1">
      <c r="A1" s="932" t="s">
        <v>232</v>
      </c>
      <c r="B1" s="933"/>
      <c r="C1" s="933"/>
      <c r="D1" s="933"/>
      <c r="E1" s="933"/>
      <c r="F1" s="933"/>
      <c r="G1" s="933"/>
      <c r="H1" s="933"/>
      <c r="I1" s="933"/>
      <c r="J1" s="934"/>
    </row>
    <row r="2" spans="1:12" s="437" customFormat="1">
      <c r="A2" s="939" t="s">
        <v>110</v>
      </c>
      <c r="B2" s="941" t="s">
        <v>111</v>
      </c>
      <c r="C2" s="941" t="s">
        <v>112</v>
      </c>
      <c r="D2" s="943" t="s">
        <v>120</v>
      </c>
      <c r="E2" s="937" t="s">
        <v>702</v>
      </c>
      <c r="F2" s="938"/>
      <c r="G2" s="937" t="s">
        <v>703</v>
      </c>
      <c r="H2" s="938"/>
      <c r="I2" s="912" t="s">
        <v>801</v>
      </c>
      <c r="J2" s="913"/>
    </row>
    <row r="3" spans="1:12" ht="46.5" thickBot="1">
      <c r="A3" s="940"/>
      <c r="B3" s="942"/>
      <c r="C3" s="942"/>
      <c r="D3" s="944"/>
      <c r="E3" s="465" t="s">
        <v>121</v>
      </c>
      <c r="F3" s="473" t="s">
        <v>705</v>
      </c>
      <c r="G3" s="465" t="s">
        <v>121</v>
      </c>
      <c r="H3" s="473" t="s">
        <v>705</v>
      </c>
      <c r="I3" s="483" t="s">
        <v>121</v>
      </c>
      <c r="J3" s="25" t="s">
        <v>705</v>
      </c>
    </row>
    <row r="4" spans="1:12">
      <c r="A4" s="70">
        <v>43942</v>
      </c>
      <c r="B4" s="71" t="s">
        <v>245</v>
      </c>
      <c r="C4" s="739">
        <v>267343</v>
      </c>
      <c r="D4" s="744">
        <f>C4</f>
        <v>267343</v>
      </c>
      <c r="E4" s="754">
        <v>266954.32</v>
      </c>
      <c r="F4" s="785">
        <f>IF(ISBLANK(E4),"----",E4-$D4)</f>
        <v>-388.67999999999302</v>
      </c>
      <c r="G4" s="754" t="s">
        <v>704</v>
      </c>
      <c r="H4" s="785" t="str">
        <f t="shared" ref="H4:H26" si="0">IF(OR(G4="Complete",ISBLANK(G4)),"----",G4-$D4)</f>
        <v>----</v>
      </c>
      <c r="I4" s="749" t="s">
        <v>704</v>
      </c>
      <c r="J4" s="786" t="str">
        <f t="shared" ref="J4:J26" si="1">IF(OR(I4="Complete",ISBLANK(I4)),"----",I4-$D4)</f>
        <v>----</v>
      </c>
    </row>
    <row r="5" spans="1:12">
      <c r="A5" s="88">
        <v>43942</v>
      </c>
      <c r="B5" s="101" t="s">
        <v>246</v>
      </c>
      <c r="C5" s="741">
        <v>359699.4</v>
      </c>
      <c r="D5" s="745">
        <f>C5</f>
        <v>359699.4</v>
      </c>
      <c r="E5" s="755">
        <v>360184.68</v>
      </c>
      <c r="F5" s="793">
        <f t="shared" ref="F5:F26" si="2">IF(ISBLANK(E5),"----",E5-$D5)</f>
        <v>485.27999999996973</v>
      </c>
      <c r="G5" s="755" t="s">
        <v>704</v>
      </c>
      <c r="H5" s="793" t="str">
        <f t="shared" si="0"/>
        <v>----</v>
      </c>
      <c r="I5" s="750" t="s">
        <v>704</v>
      </c>
      <c r="J5" s="794" t="str">
        <f t="shared" si="1"/>
        <v>----</v>
      </c>
    </row>
    <row r="6" spans="1:12">
      <c r="A6" s="102">
        <v>44306</v>
      </c>
      <c r="B6" s="103" t="s">
        <v>423</v>
      </c>
      <c r="C6" s="787">
        <v>691838.93</v>
      </c>
      <c r="D6" s="746">
        <v>418738.93</v>
      </c>
      <c r="E6" s="756">
        <v>423991.46</v>
      </c>
      <c r="F6" s="788">
        <f t="shared" si="2"/>
        <v>5252.5300000000279</v>
      </c>
      <c r="G6" s="756" t="s">
        <v>704</v>
      </c>
      <c r="H6" s="788" t="str">
        <f t="shared" si="0"/>
        <v>----</v>
      </c>
      <c r="I6" s="751" t="s">
        <v>704</v>
      </c>
      <c r="J6" s="789" t="str">
        <f t="shared" si="1"/>
        <v>----</v>
      </c>
      <c r="K6" t="s">
        <v>422</v>
      </c>
    </row>
    <row r="7" spans="1:12">
      <c r="A7" s="102">
        <v>44915</v>
      </c>
      <c r="B7" s="103" t="s">
        <v>614</v>
      </c>
      <c r="C7" s="787">
        <v>592830.35</v>
      </c>
      <c r="D7" s="746">
        <f>C7</f>
        <v>592830.35</v>
      </c>
      <c r="E7" s="756"/>
      <c r="F7" s="788" t="str">
        <f t="shared" si="2"/>
        <v>----</v>
      </c>
      <c r="G7" s="756">
        <v>592733.5</v>
      </c>
      <c r="H7" s="788">
        <f t="shared" si="0"/>
        <v>-96.849999999976717</v>
      </c>
      <c r="I7" s="751"/>
      <c r="J7" s="789" t="str">
        <f t="shared" si="1"/>
        <v>----</v>
      </c>
    </row>
    <row r="8" spans="1:12">
      <c r="A8" s="409">
        <v>45251</v>
      </c>
      <c r="B8" s="410" t="s">
        <v>682</v>
      </c>
      <c r="C8" s="787">
        <v>346590.04</v>
      </c>
      <c r="D8" s="746">
        <f>C8</f>
        <v>346590.04</v>
      </c>
      <c r="E8" s="756"/>
      <c r="F8" s="788" t="str">
        <f t="shared" si="2"/>
        <v>----</v>
      </c>
      <c r="G8" s="756"/>
      <c r="H8" s="788" t="str">
        <f t="shared" si="0"/>
        <v>----</v>
      </c>
      <c r="I8" s="751"/>
      <c r="J8" s="789" t="str">
        <f t="shared" si="1"/>
        <v>----</v>
      </c>
    </row>
    <row r="9" spans="1:12">
      <c r="A9" s="102">
        <v>45279</v>
      </c>
      <c r="B9" s="103" t="s">
        <v>691</v>
      </c>
      <c r="C9" s="787">
        <v>1729293.54</v>
      </c>
      <c r="D9" s="746">
        <f>C9-C9*0.2-C9*0.6</f>
        <v>345858.70799999998</v>
      </c>
      <c r="E9" s="756"/>
      <c r="F9" s="788" t="str">
        <f t="shared" si="2"/>
        <v>----</v>
      </c>
      <c r="G9" s="756"/>
      <c r="H9" s="788" t="str">
        <f t="shared" si="0"/>
        <v>----</v>
      </c>
      <c r="I9" s="751"/>
      <c r="J9" s="789" t="str">
        <f t="shared" si="1"/>
        <v>----</v>
      </c>
      <c r="K9" s="418" t="s">
        <v>707</v>
      </c>
    </row>
    <row r="10" spans="1:12">
      <c r="A10" s="737">
        <v>45643</v>
      </c>
      <c r="B10" s="738" t="s">
        <v>807</v>
      </c>
      <c r="C10" s="787">
        <v>539845.64</v>
      </c>
      <c r="D10" s="746">
        <f>C10</f>
        <v>539845.64</v>
      </c>
      <c r="E10" s="756"/>
      <c r="F10" s="788" t="str">
        <f t="shared" si="2"/>
        <v>----</v>
      </c>
      <c r="G10" s="756"/>
      <c r="H10" s="788" t="str">
        <f t="shared" si="0"/>
        <v>----</v>
      </c>
      <c r="I10" s="751"/>
      <c r="J10" s="789" t="str">
        <f t="shared" si="1"/>
        <v>----</v>
      </c>
    </row>
    <row r="11" spans="1:12">
      <c r="A11" s="102"/>
      <c r="B11" s="103"/>
      <c r="C11" s="787"/>
      <c r="D11" s="746"/>
      <c r="E11" s="756"/>
      <c r="F11" s="788" t="str">
        <f t="shared" si="2"/>
        <v>----</v>
      </c>
      <c r="G11" s="756"/>
      <c r="H11" s="788" t="str">
        <f t="shared" si="0"/>
        <v>----</v>
      </c>
      <c r="I11" s="751"/>
      <c r="J11" s="789" t="str">
        <f t="shared" si="1"/>
        <v>----</v>
      </c>
      <c r="L11" s="604"/>
    </row>
    <row r="12" spans="1:12">
      <c r="A12" s="102"/>
      <c r="B12" s="103"/>
      <c r="C12" s="787"/>
      <c r="D12" s="746"/>
      <c r="E12" s="756"/>
      <c r="F12" s="788" t="str">
        <f t="shared" si="2"/>
        <v>----</v>
      </c>
      <c r="G12" s="756"/>
      <c r="H12" s="788" t="str">
        <f t="shared" si="0"/>
        <v>----</v>
      </c>
      <c r="I12" s="751"/>
      <c r="J12" s="789" t="str">
        <f t="shared" si="1"/>
        <v>----</v>
      </c>
    </row>
    <row r="13" spans="1:12">
      <c r="A13" s="102"/>
      <c r="B13" s="103"/>
      <c r="C13" s="787"/>
      <c r="D13" s="746"/>
      <c r="E13" s="756"/>
      <c r="F13" s="788" t="str">
        <f t="shared" si="2"/>
        <v>----</v>
      </c>
      <c r="G13" s="756"/>
      <c r="H13" s="788" t="str">
        <f t="shared" si="0"/>
        <v>----</v>
      </c>
      <c r="I13" s="751"/>
      <c r="J13" s="789" t="str">
        <f t="shared" si="1"/>
        <v>----</v>
      </c>
    </row>
    <row r="14" spans="1:12">
      <c r="A14" s="102"/>
      <c r="B14" s="103"/>
      <c r="C14" s="787"/>
      <c r="D14" s="746"/>
      <c r="E14" s="756"/>
      <c r="F14" s="788" t="str">
        <f t="shared" si="2"/>
        <v>----</v>
      </c>
      <c r="G14" s="756"/>
      <c r="H14" s="788" t="str">
        <f t="shared" si="0"/>
        <v>----</v>
      </c>
      <c r="I14" s="751"/>
      <c r="J14" s="789" t="str">
        <f t="shared" si="1"/>
        <v>----</v>
      </c>
    </row>
    <row r="15" spans="1:12">
      <c r="A15" s="102"/>
      <c r="B15" s="103"/>
      <c r="C15" s="787"/>
      <c r="D15" s="746"/>
      <c r="E15" s="756"/>
      <c r="F15" s="788" t="str">
        <f t="shared" si="2"/>
        <v>----</v>
      </c>
      <c r="G15" s="756"/>
      <c r="H15" s="788" t="str">
        <f t="shared" si="0"/>
        <v>----</v>
      </c>
      <c r="I15" s="751"/>
      <c r="J15" s="789" t="str">
        <f t="shared" si="1"/>
        <v>----</v>
      </c>
    </row>
    <row r="16" spans="1:12">
      <c r="A16" s="102"/>
      <c r="B16" s="103"/>
      <c r="C16" s="787"/>
      <c r="D16" s="746"/>
      <c r="E16" s="756"/>
      <c r="F16" s="788" t="str">
        <f t="shared" si="2"/>
        <v>----</v>
      </c>
      <c r="G16" s="756"/>
      <c r="H16" s="788" t="str">
        <f t="shared" si="0"/>
        <v>----</v>
      </c>
      <c r="I16" s="751"/>
      <c r="J16" s="789" t="str">
        <f t="shared" si="1"/>
        <v>----</v>
      </c>
    </row>
    <row r="17" spans="1:10">
      <c r="A17" s="102"/>
      <c r="B17" s="103"/>
      <c r="C17" s="787"/>
      <c r="D17" s="746"/>
      <c r="E17" s="756"/>
      <c r="F17" s="788" t="str">
        <f t="shared" si="2"/>
        <v>----</v>
      </c>
      <c r="G17" s="756"/>
      <c r="H17" s="788" t="str">
        <f t="shared" si="0"/>
        <v>----</v>
      </c>
      <c r="I17" s="751"/>
      <c r="J17" s="789" t="str">
        <f t="shared" si="1"/>
        <v>----</v>
      </c>
    </row>
    <row r="18" spans="1:10">
      <c r="A18" s="102"/>
      <c r="B18" s="103"/>
      <c r="C18" s="787"/>
      <c r="D18" s="746"/>
      <c r="E18" s="756"/>
      <c r="F18" s="788" t="str">
        <f t="shared" si="2"/>
        <v>----</v>
      </c>
      <c r="G18" s="756"/>
      <c r="H18" s="788" t="str">
        <f t="shared" si="0"/>
        <v>----</v>
      </c>
      <c r="I18" s="751"/>
      <c r="J18" s="789" t="str">
        <f t="shared" si="1"/>
        <v>----</v>
      </c>
    </row>
    <row r="19" spans="1:10">
      <c r="A19" s="102"/>
      <c r="B19" s="103"/>
      <c r="C19" s="787"/>
      <c r="D19" s="746"/>
      <c r="E19" s="756"/>
      <c r="F19" s="788" t="str">
        <f t="shared" si="2"/>
        <v>----</v>
      </c>
      <c r="G19" s="756"/>
      <c r="H19" s="788" t="str">
        <f t="shared" si="0"/>
        <v>----</v>
      </c>
      <c r="I19" s="751"/>
      <c r="J19" s="789" t="str">
        <f t="shared" si="1"/>
        <v>----</v>
      </c>
    </row>
    <row r="20" spans="1:10">
      <c r="A20" s="102"/>
      <c r="B20" s="103"/>
      <c r="C20" s="787"/>
      <c r="D20" s="746"/>
      <c r="E20" s="756"/>
      <c r="F20" s="788" t="str">
        <f t="shared" si="2"/>
        <v>----</v>
      </c>
      <c r="G20" s="756"/>
      <c r="H20" s="788" t="str">
        <f t="shared" si="0"/>
        <v>----</v>
      </c>
      <c r="I20" s="751"/>
      <c r="J20" s="789" t="str">
        <f t="shared" si="1"/>
        <v>----</v>
      </c>
    </row>
    <row r="21" spans="1:10">
      <c r="A21" s="102"/>
      <c r="B21" s="103"/>
      <c r="C21" s="787"/>
      <c r="D21" s="746"/>
      <c r="E21" s="756"/>
      <c r="F21" s="788" t="str">
        <f t="shared" si="2"/>
        <v>----</v>
      </c>
      <c r="G21" s="756"/>
      <c r="H21" s="788" t="str">
        <f t="shared" si="0"/>
        <v>----</v>
      </c>
      <c r="I21" s="751"/>
      <c r="J21" s="789" t="str">
        <f t="shared" si="1"/>
        <v>----</v>
      </c>
    </row>
    <row r="22" spans="1:10">
      <c r="A22" s="102"/>
      <c r="B22" s="103"/>
      <c r="C22" s="787"/>
      <c r="D22" s="746"/>
      <c r="E22" s="756"/>
      <c r="F22" s="788" t="str">
        <f t="shared" si="2"/>
        <v>----</v>
      </c>
      <c r="G22" s="756"/>
      <c r="H22" s="788" t="str">
        <f t="shared" si="0"/>
        <v>----</v>
      </c>
      <c r="I22" s="751"/>
      <c r="J22" s="789" t="str">
        <f t="shared" si="1"/>
        <v>----</v>
      </c>
    </row>
    <row r="23" spans="1:10">
      <c r="A23" s="102"/>
      <c r="B23" s="103"/>
      <c r="C23" s="787"/>
      <c r="D23" s="746"/>
      <c r="E23" s="756"/>
      <c r="F23" s="788" t="str">
        <f t="shared" si="2"/>
        <v>----</v>
      </c>
      <c r="G23" s="756"/>
      <c r="H23" s="788" t="str">
        <f t="shared" si="0"/>
        <v>----</v>
      </c>
      <c r="I23" s="751"/>
      <c r="J23" s="789" t="str">
        <f t="shared" si="1"/>
        <v>----</v>
      </c>
    </row>
    <row r="24" spans="1:10">
      <c r="A24" s="102"/>
      <c r="B24" s="103"/>
      <c r="C24" s="787"/>
      <c r="D24" s="746"/>
      <c r="E24" s="756"/>
      <c r="F24" s="788" t="str">
        <f t="shared" si="2"/>
        <v>----</v>
      </c>
      <c r="G24" s="756"/>
      <c r="H24" s="788" t="str">
        <f t="shared" si="0"/>
        <v>----</v>
      </c>
      <c r="I24" s="751"/>
      <c r="J24" s="789" t="str">
        <f t="shared" si="1"/>
        <v>----</v>
      </c>
    </row>
    <row r="25" spans="1:10">
      <c r="A25" s="116"/>
      <c r="B25" s="117"/>
      <c r="C25" s="790"/>
      <c r="D25" s="747"/>
      <c r="E25" s="757"/>
      <c r="F25" s="791" t="str">
        <f t="shared" si="2"/>
        <v>----</v>
      </c>
      <c r="G25" s="757"/>
      <c r="H25" s="791" t="str">
        <f t="shared" si="0"/>
        <v>----</v>
      </c>
      <c r="I25" s="752"/>
      <c r="J25" s="792" t="str">
        <f t="shared" si="1"/>
        <v>----</v>
      </c>
    </row>
    <row r="26" spans="1:10" ht="15.75" thickBot="1">
      <c r="A26" s="74"/>
      <c r="B26" s="75"/>
      <c r="C26" s="740"/>
      <c r="D26" s="748"/>
      <c r="E26" s="758"/>
      <c r="F26" s="783" t="str">
        <f t="shared" si="2"/>
        <v>----</v>
      </c>
      <c r="G26" s="758"/>
      <c r="H26" s="783" t="str">
        <f t="shared" si="0"/>
        <v>----</v>
      </c>
      <c r="I26" s="753"/>
      <c r="J26" s="784" t="str">
        <f t="shared" si="1"/>
        <v>----</v>
      </c>
    </row>
    <row r="27" spans="1:10" ht="15.75" thickBot="1">
      <c r="A27" s="27"/>
      <c r="B27" s="27"/>
      <c r="C27" s="28"/>
      <c r="D27" s="28"/>
      <c r="E27" s="444"/>
      <c r="F27" s="446">
        <f>SUM(F4:F26)</f>
        <v>5349.1300000000047</v>
      </c>
      <c r="G27" s="444"/>
      <c r="H27" s="446">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C4" sqref="C4:J22"/>
    </sheetView>
  </sheetViews>
  <sheetFormatPr defaultRowHeight="15"/>
  <cols>
    <col min="2" max="2" width="22.85546875" bestFit="1" customWidth="1"/>
    <col min="3" max="3" width="10.7109375" bestFit="1" customWidth="1"/>
    <col min="4" max="4" width="12.140625" customWidth="1"/>
    <col min="5" max="5" width="10.7109375" style="437" bestFit="1" customWidth="1"/>
    <col min="6" max="6" width="12" style="437" customWidth="1"/>
    <col min="7" max="7" width="10.7109375" style="437" bestFit="1" customWidth="1"/>
    <col min="8" max="8" width="12" style="437" customWidth="1"/>
    <col min="9" max="9" width="10.7109375" bestFit="1" customWidth="1"/>
    <col min="10" max="10" width="12" customWidth="1"/>
  </cols>
  <sheetData>
    <row r="1" spans="1:10" ht="15.75" thickBot="1">
      <c r="A1" s="932" t="s">
        <v>217</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443" t="s">
        <v>705</v>
      </c>
    </row>
    <row r="4" spans="1:10">
      <c r="A4" s="70">
        <v>43879</v>
      </c>
      <c r="B4" s="71" t="s">
        <v>218</v>
      </c>
      <c r="C4" s="798">
        <v>393213.65</v>
      </c>
      <c r="D4" s="798">
        <f>C4</f>
        <v>393213.65</v>
      </c>
      <c r="E4" s="812"/>
      <c r="F4" s="821" t="str">
        <f t="shared" ref="F4:F21" si="0">IF(ISBLANK(E4),"----",E4-D4)</f>
        <v>----</v>
      </c>
      <c r="G4" s="812"/>
      <c r="H4" s="821" t="str">
        <f t="shared" ref="H4:H21" si="1">IF(OR(G4="Complete",ISBLANK(G4)),"----",G4-$D4)</f>
        <v>----</v>
      </c>
      <c r="I4" s="809"/>
      <c r="J4" s="822" t="str">
        <f t="shared" ref="J4:J21" si="2">IF(OR(I4="Complete",ISBLANK(I4)),"----",I4-$D4)</f>
        <v>----</v>
      </c>
    </row>
    <row r="5" spans="1:10">
      <c r="A5" s="88">
        <v>44216</v>
      </c>
      <c r="B5" s="101" t="s">
        <v>377</v>
      </c>
      <c r="C5" s="801">
        <v>103125.5</v>
      </c>
      <c r="D5" s="801">
        <f>C5</f>
        <v>103125.5</v>
      </c>
      <c r="E5" s="813">
        <v>104313.75</v>
      </c>
      <c r="F5" s="825">
        <f t="shared" si="0"/>
        <v>1188.25</v>
      </c>
      <c r="G5" s="813" t="s">
        <v>704</v>
      </c>
      <c r="H5" s="825" t="str">
        <f t="shared" si="1"/>
        <v>----</v>
      </c>
      <c r="I5" s="810" t="s">
        <v>704</v>
      </c>
      <c r="J5" s="826" t="str">
        <f t="shared" si="2"/>
        <v>----</v>
      </c>
    </row>
    <row r="6" spans="1:10">
      <c r="A6" s="102">
        <v>44880</v>
      </c>
      <c r="B6" s="103" t="s">
        <v>592</v>
      </c>
      <c r="C6" s="787">
        <v>205316</v>
      </c>
      <c r="D6" s="787">
        <f>C6</f>
        <v>205316</v>
      </c>
      <c r="E6" s="756"/>
      <c r="F6" s="825" t="str">
        <f t="shared" si="0"/>
        <v>----</v>
      </c>
      <c r="G6" s="756">
        <v>205251.42</v>
      </c>
      <c r="H6" s="788">
        <f t="shared" si="1"/>
        <v>-64.579999999987194</v>
      </c>
      <c r="I6" s="751" t="s">
        <v>704</v>
      </c>
      <c r="J6" s="789" t="str">
        <f t="shared" si="2"/>
        <v>----</v>
      </c>
    </row>
    <row r="7" spans="1:10">
      <c r="A7" s="102">
        <v>44880</v>
      </c>
      <c r="B7" s="103" t="s">
        <v>593</v>
      </c>
      <c r="C7" s="787">
        <v>764936</v>
      </c>
      <c r="D7" s="787">
        <f>C7</f>
        <v>764936</v>
      </c>
      <c r="E7" s="756"/>
      <c r="F7" s="825" t="str">
        <f t="shared" si="0"/>
        <v>----</v>
      </c>
      <c r="G7" s="756">
        <v>775061.18</v>
      </c>
      <c r="H7" s="788">
        <f t="shared" si="1"/>
        <v>10125.180000000051</v>
      </c>
      <c r="I7" s="751" t="s">
        <v>704</v>
      </c>
      <c r="J7" s="789" t="str">
        <f t="shared" si="2"/>
        <v>----</v>
      </c>
    </row>
    <row r="8" spans="1:10">
      <c r="A8" s="102">
        <v>45734</v>
      </c>
      <c r="B8" s="738" t="s">
        <v>864</v>
      </c>
      <c r="C8" s="787">
        <v>192912</v>
      </c>
      <c r="D8" s="787">
        <f>C8</f>
        <v>192912</v>
      </c>
      <c r="E8" s="756"/>
      <c r="F8" s="825" t="str">
        <f t="shared" si="0"/>
        <v>----</v>
      </c>
      <c r="G8" s="756"/>
      <c r="H8" s="788" t="str">
        <f t="shared" si="1"/>
        <v>----</v>
      </c>
      <c r="I8" s="751"/>
      <c r="J8" s="789" t="str">
        <f t="shared" si="2"/>
        <v>----</v>
      </c>
    </row>
    <row r="9" spans="1:10">
      <c r="A9" s="102">
        <v>45734</v>
      </c>
      <c r="B9" s="738" t="s">
        <v>865</v>
      </c>
      <c r="C9" s="787">
        <v>149826.75</v>
      </c>
      <c r="D9" s="787">
        <f>C9</f>
        <v>149826.75</v>
      </c>
      <c r="E9" s="756"/>
      <c r="F9" s="825" t="str">
        <f t="shared" si="0"/>
        <v>----</v>
      </c>
      <c r="G9" s="756"/>
      <c r="H9" s="788" t="str">
        <f t="shared" si="1"/>
        <v>----</v>
      </c>
      <c r="I9" s="751"/>
      <c r="J9" s="789" t="str">
        <f t="shared" si="2"/>
        <v>----</v>
      </c>
    </row>
    <row r="10" spans="1:10">
      <c r="A10" s="102"/>
      <c r="B10" s="103"/>
      <c r="C10" s="787"/>
      <c r="D10" s="787"/>
      <c r="E10" s="756"/>
      <c r="F10" s="825" t="str">
        <f t="shared" si="0"/>
        <v>----</v>
      </c>
      <c r="G10" s="756"/>
      <c r="H10" s="788" t="str">
        <f t="shared" si="1"/>
        <v>----</v>
      </c>
      <c r="I10" s="751"/>
      <c r="J10" s="789" t="str">
        <f t="shared" si="2"/>
        <v>----</v>
      </c>
    </row>
    <row r="11" spans="1:10">
      <c r="A11" s="102"/>
      <c r="B11" s="103"/>
      <c r="C11" s="787"/>
      <c r="D11" s="787"/>
      <c r="E11" s="756"/>
      <c r="F11" s="825" t="str">
        <f t="shared" si="0"/>
        <v>----</v>
      </c>
      <c r="G11" s="756"/>
      <c r="H11" s="788" t="str">
        <f t="shared" si="1"/>
        <v>----</v>
      </c>
      <c r="I11" s="751"/>
      <c r="J11" s="789" t="str">
        <f t="shared" si="2"/>
        <v>----</v>
      </c>
    </row>
    <row r="12" spans="1:10">
      <c r="A12" s="102"/>
      <c r="B12" s="103"/>
      <c r="C12" s="787"/>
      <c r="D12" s="787"/>
      <c r="E12" s="756"/>
      <c r="F12" s="825" t="str">
        <f t="shared" si="0"/>
        <v>----</v>
      </c>
      <c r="G12" s="756"/>
      <c r="H12" s="788" t="str">
        <f t="shared" si="1"/>
        <v>----</v>
      </c>
      <c r="I12" s="751"/>
      <c r="J12" s="789" t="str">
        <f t="shared" si="2"/>
        <v>----</v>
      </c>
    </row>
    <row r="13" spans="1:10">
      <c r="A13" s="102"/>
      <c r="B13" s="103"/>
      <c r="C13" s="787"/>
      <c r="D13" s="787"/>
      <c r="E13" s="756"/>
      <c r="F13" s="825" t="str">
        <f t="shared" si="0"/>
        <v>----</v>
      </c>
      <c r="G13" s="756"/>
      <c r="H13" s="788" t="str">
        <f t="shared" si="1"/>
        <v>----</v>
      </c>
      <c r="I13" s="751"/>
      <c r="J13" s="789" t="str">
        <f t="shared" si="2"/>
        <v>----</v>
      </c>
    </row>
    <row r="14" spans="1:10">
      <c r="A14" s="102"/>
      <c r="B14" s="103"/>
      <c r="C14" s="787"/>
      <c r="D14" s="787"/>
      <c r="E14" s="756"/>
      <c r="F14" s="825" t="str">
        <f t="shared" si="0"/>
        <v>----</v>
      </c>
      <c r="G14" s="756"/>
      <c r="H14" s="788" t="str">
        <f t="shared" si="1"/>
        <v>----</v>
      </c>
      <c r="I14" s="751"/>
      <c r="J14" s="789" t="str">
        <f t="shared" si="2"/>
        <v>----</v>
      </c>
    </row>
    <row r="15" spans="1:10">
      <c r="A15" s="102"/>
      <c r="B15" s="103"/>
      <c r="C15" s="787"/>
      <c r="D15" s="787"/>
      <c r="E15" s="756"/>
      <c r="F15" s="825" t="str">
        <f t="shared" si="0"/>
        <v>----</v>
      </c>
      <c r="G15" s="756"/>
      <c r="H15" s="788" t="str">
        <f t="shared" si="1"/>
        <v>----</v>
      </c>
      <c r="I15" s="751"/>
      <c r="J15" s="789" t="str">
        <f t="shared" si="2"/>
        <v>----</v>
      </c>
    </row>
    <row r="16" spans="1:10">
      <c r="A16" s="102"/>
      <c r="B16" s="103"/>
      <c r="C16" s="787"/>
      <c r="D16" s="787"/>
      <c r="E16" s="756"/>
      <c r="F16" s="825" t="str">
        <f t="shared" si="0"/>
        <v>----</v>
      </c>
      <c r="G16" s="756"/>
      <c r="H16" s="788" t="str">
        <f t="shared" si="1"/>
        <v>----</v>
      </c>
      <c r="I16" s="751"/>
      <c r="J16" s="789" t="str">
        <f t="shared" si="2"/>
        <v>----</v>
      </c>
    </row>
    <row r="17" spans="1:10">
      <c r="A17" s="102"/>
      <c r="B17" s="103"/>
      <c r="C17" s="787"/>
      <c r="D17" s="787"/>
      <c r="E17" s="756"/>
      <c r="F17" s="825" t="str">
        <f t="shared" si="0"/>
        <v>----</v>
      </c>
      <c r="G17" s="756"/>
      <c r="H17" s="788" t="str">
        <f t="shared" si="1"/>
        <v>----</v>
      </c>
      <c r="I17" s="751"/>
      <c r="J17" s="789" t="str">
        <f t="shared" si="2"/>
        <v>----</v>
      </c>
    </row>
    <row r="18" spans="1:10">
      <c r="A18" s="102"/>
      <c r="B18" s="103"/>
      <c r="C18" s="787"/>
      <c r="D18" s="787"/>
      <c r="E18" s="756"/>
      <c r="F18" s="825" t="str">
        <f t="shared" si="0"/>
        <v>----</v>
      </c>
      <c r="G18" s="756"/>
      <c r="H18" s="788" t="str">
        <f t="shared" si="1"/>
        <v>----</v>
      </c>
      <c r="I18" s="751"/>
      <c r="J18" s="789" t="str">
        <f t="shared" si="2"/>
        <v>----</v>
      </c>
    </row>
    <row r="19" spans="1:10">
      <c r="A19" s="102"/>
      <c r="B19" s="103"/>
      <c r="C19" s="787"/>
      <c r="D19" s="787"/>
      <c r="E19" s="756"/>
      <c r="F19" s="825" t="str">
        <f t="shared" si="0"/>
        <v>----</v>
      </c>
      <c r="G19" s="756"/>
      <c r="H19" s="788" t="str">
        <f t="shared" si="1"/>
        <v>----</v>
      </c>
      <c r="I19" s="751"/>
      <c r="J19" s="789" t="str">
        <f t="shared" si="2"/>
        <v>----</v>
      </c>
    </row>
    <row r="20" spans="1:10">
      <c r="A20" s="116"/>
      <c r="B20" s="117"/>
      <c r="C20" s="790"/>
      <c r="D20" s="790"/>
      <c r="E20" s="756"/>
      <c r="F20" s="825" t="str">
        <f t="shared" si="0"/>
        <v>----</v>
      </c>
      <c r="G20" s="757"/>
      <c r="H20" s="791" t="str">
        <f t="shared" si="1"/>
        <v>----</v>
      </c>
      <c r="I20" s="752"/>
      <c r="J20" s="792" t="str">
        <f t="shared" si="2"/>
        <v>----</v>
      </c>
    </row>
    <row r="21" spans="1:10" ht="15.75" thickBot="1">
      <c r="A21" s="74"/>
      <c r="B21" s="75"/>
      <c r="C21" s="800"/>
      <c r="D21" s="800"/>
      <c r="E21" s="757"/>
      <c r="F21" s="825" t="str">
        <f t="shared" si="0"/>
        <v>----</v>
      </c>
      <c r="G21" s="814"/>
      <c r="H21" s="819" t="str">
        <f t="shared" si="1"/>
        <v>----</v>
      </c>
      <c r="I21" s="811"/>
      <c r="J21" s="820" t="str">
        <f t="shared" si="2"/>
        <v>----</v>
      </c>
    </row>
    <row r="22" spans="1:10" ht="15.75" thickBot="1">
      <c r="A22" s="27"/>
      <c r="B22" s="27"/>
      <c r="C22" s="832"/>
      <c r="D22" s="832"/>
      <c r="E22" s="832"/>
      <c r="F22" s="833">
        <f>SUM(F4:F21)</f>
        <v>1188.25</v>
      </c>
      <c r="G22" s="832"/>
      <c r="H22" s="833">
        <f>SUM(H4:H21)</f>
        <v>10060.600000000064</v>
      </c>
      <c r="I22" s="832"/>
      <c r="J22" s="833">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7" bestFit="1" customWidth="1"/>
    <col min="6" max="6" width="11.7109375" style="437" customWidth="1"/>
    <col min="7" max="7" width="10.7109375" style="437" bestFit="1" customWidth="1"/>
    <col min="8" max="8" width="11.7109375" style="437" customWidth="1"/>
    <col min="9" max="9" width="10.7109375" bestFit="1" customWidth="1"/>
    <col min="10" max="10" width="11.7109375" customWidth="1"/>
  </cols>
  <sheetData>
    <row r="1" spans="1:10" ht="14.25" customHeight="1" thickBot="1">
      <c r="A1" s="932" t="s">
        <v>123</v>
      </c>
      <c r="B1" s="933"/>
      <c r="C1" s="933"/>
      <c r="D1" s="933"/>
      <c r="E1" s="933"/>
      <c r="F1" s="933"/>
      <c r="G1" s="933"/>
      <c r="H1" s="933"/>
      <c r="I1" s="933"/>
      <c r="J1" s="934"/>
    </row>
    <row r="2" spans="1:10" s="437" customFormat="1" ht="14.25" customHeigh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ht="15.75" customHeight="1">
      <c r="A4" s="447">
        <v>44180</v>
      </c>
      <c r="B4" s="448" t="s">
        <v>357</v>
      </c>
      <c r="C4" s="72">
        <v>774105.11</v>
      </c>
      <c r="D4" s="434">
        <f>C4</f>
        <v>774105.11</v>
      </c>
      <c r="E4" s="474"/>
      <c r="F4" s="475" t="str">
        <f>IF(ISBLANK(E4),"----",E4-$D4)</f>
        <v>----</v>
      </c>
      <c r="G4" s="474"/>
      <c r="H4" s="475" t="str">
        <f>IF(OR(G4="Complete",ISBLANK(G4)),"----",G4-$D4)</f>
        <v>----</v>
      </c>
      <c r="I4" s="484"/>
      <c r="J4" s="73" t="str">
        <f>IF(OR(I4="Complete",ISBLANK(I4)),"----",I4-$D4)</f>
        <v>----</v>
      </c>
    </row>
    <row r="5" spans="1:10" s="437" customFormat="1" ht="15.75" customHeight="1">
      <c r="A5" s="452"/>
      <c r="B5" s="453"/>
      <c r="C5" s="449"/>
      <c r="D5" s="436"/>
      <c r="E5" s="476"/>
      <c r="F5" s="477" t="str">
        <f t="shared" ref="F5:F19" si="0">IF(ISBLANK(E5),"----",E5-$D5)</f>
        <v>----</v>
      </c>
      <c r="G5" s="476"/>
      <c r="H5" s="477" t="str">
        <f t="shared" ref="H5:H19" si="1">IF(OR(G5="Complete",ISBLANK(G5)),"----",G5-$D5)</f>
        <v>----</v>
      </c>
      <c r="I5" s="489"/>
      <c r="J5" s="450" t="str">
        <f t="shared" ref="J5:J19" si="2">IF(OR(I5="Complete",ISBLANK(I5)),"----",I5-$D5)</f>
        <v>----</v>
      </c>
    </row>
    <row r="6" spans="1:10" s="437" customFormat="1">
      <c r="A6" s="454"/>
      <c r="B6" s="455"/>
      <c r="C6" s="451"/>
      <c r="D6" s="471"/>
      <c r="E6" s="478"/>
      <c r="F6" s="490" t="str">
        <f t="shared" si="0"/>
        <v>----</v>
      </c>
      <c r="G6" s="478"/>
      <c r="H6" s="490" t="str">
        <f t="shared" si="1"/>
        <v>----</v>
      </c>
      <c r="I6" s="491"/>
      <c r="J6" s="456" t="str">
        <f t="shared" si="2"/>
        <v>----</v>
      </c>
    </row>
    <row r="7" spans="1:10" s="437" customFormat="1">
      <c r="A7" s="454"/>
      <c r="B7" s="455"/>
      <c r="C7" s="451"/>
      <c r="D7" s="471"/>
      <c r="E7" s="478"/>
      <c r="F7" s="490" t="str">
        <f t="shared" si="0"/>
        <v>----</v>
      </c>
      <c r="G7" s="478"/>
      <c r="H7" s="490" t="str">
        <f t="shared" si="1"/>
        <v>----</v>
      </c>
      <c r="I7" s="491"/>
      <c r="J7" s="456" t="str">
        <f t="shared" si="2"/>
        <v>----</v>
      </c>
    </row>
    <row r="8" spans="1:10" s="437" customFormat="1">
      <c r="A8" s="454"/>
      <c r="B8" s="455"/>
      <c r="C8" s="451"/>
      <c r="D8" s="471"/>
      <c r="E8" s="478"/>
      <c r="F8" s="490" t="str">
        <f t="shared" si="0"/>
        <v>----</v>
      </c>
      <c r="G8" s="478"/>
      <c r="H8" s="490" t="str">
        <f t="shared" si="1"/>
        <v>----</v>
      </c>
      <c r="I8" s="491"/>
      <c r="J8" s="456" t="str">
        <f t="shared" si="2"/>
        <v>----</v>
      </c>
    </row>
    <row r="9" spans="1:10" s="437" customFormat="1">
      <c r="A9" s="454"/>
      <c r="B9" s="455"/>
      <c r="C9" s="451"/>
      <c r="D9" s="471"/>
      <c r="E9" s="478"/>
      <c r="F9" s="490" t="str">
        <f t="shared" si="0"/>
        <v>----</v>
      </c>
      <c r="G9" s="478"/>
      <c r="H9" s="490" t="str">
        <f t="shared" si="1"/>
        <v>----</v>
      </c>
      <c r="I9" s="491"/>
      <c r="J9" s="456" t="str">
        <f t="shared" si="2"/>
        <v>----</v>
      </c>
    </row>
    <row r="10" spans="1:10" s="437" customFormat="1">
      <c r="A10" s="454"/>
      <c r="B10" s="455"/>
      <c r="C10" s="451"/>
      <c r="D10" s="471"/>
      <c r="E10" s="478"/>
      <c r="F10" s="490" t="str">
        <f t="shared" si="0"/>
        <v>----</v>
      </c>
      <c r="G10" s="478"/>
      <c r="H10" s="490" t="str">
        <f t="shared" si="1"/>
        <v>----</v>
      </c>
      <c r="I10" s="491"/>
      <c r="J10" s="456" t="str">
        <f t="shared" si="2"/>
        <v>----</v>
      </c>
    </row>
    <row r="11" spans="1:10" s="437" customFormat="1">
      <c r="A11" s="454"/>
      <c r="B11" s="455"/>
      <c r="C11" s="451"/>
      <c r="D11" s="471"/>
      <c r="E11" s="478"/>
      <c r="F11" s="490" t="str">
        <f t="shared" si="0"/>
        <v>----</v>
      </c>
      <c r="G11" s="478"/>
      <c r="H11" s="490" t="str">
        <f t="shared" si="1"/>
        <v>----</v>
      </c>
      <c r="I11" s="491"/>
      <c r="J11" s="456" t="str">
        <f t="shared" si="2"/>
        <v>----</v>
      </c>
    </row>
    <row r="12" spans="1:10" s="437" customFormat="1">
      <c r="A12" s="454"/>
      <c r="B12" s="455"/>
      <c r="C12" s="451"/>
      <c r="D12" s="471"/>
      <c r="E12" s="478"/>
      <c r="F12" s="490" t="str">
        <f t="shared" si="0"/>
        <v>----</v>
      </c>
      <c r="G12" s="478"/>
      <c r="H12" s="490" t="str">
        <f t="shared" si="1"/>
        <v>----</v>
      </c>
      <c r="I12" s="491"/>
      <c r="J12" s="456" t="str">
        <f t="shared" si="2"/>
        <v>----</v>
      </c>
    </row>
    <row r="13" spans="1:10" s="437" customFormat="1">
      <c r="A13" s="454"/>
      <c r="B13" s="455"/>
      <c r="C13" s="451"/>
      <c r="D13" s="471"/>
      <c r="E13" s="478"/>
      <c r="F13" s="490" t="str">
        <f t="shared" si="0"/>
        <v>----</v>
      </c>
      <c r="G13" s="478"/>
      <c r="H13" s="490" t="str">
        <f t="shared" si="1"/>
        <v>----</v>
      </c>
      <c r="I13" s="491"/>
      <c r="J13" s="456" t="str">
        <f t="shared" si="2"/>
        <v>----</v>
      </c>
    </row>
    <row r="14" spans="1:10" s="437" customFormat="1">
      <c r="A14" s="454"/>
      <c r="B14" s="455"/>
      <c r="C14" s="451"/>
      <c r="D14" s="471"/>
      <c r="E14" s="478"/>
      <c r="F14" s="490" t="str">
        <f t="shared" si="0"/>
        <v>----</v>
      </c>
      <c r="G14" s="478"/>
      <c r="H14" s="490" t="str">
        <f t="shared" si="1"/>
        <v>----</v>
      </c>
      <c r="I14" s="491"/>
      <c r="J14" s="456" t="str">
        <f t="shared" si="2"/>
        <v>----</v>
      </c>
    </row>
    <row r="15" spans="1:10" s="437" customFormat="1">
      <c r="A15" s="454"/>
      <c r="B15" s="455"/>
      <c r="C15" s="451"/>
      <c r="D15" s="471"/>
      <c r="E15" s="478"/>
      <c r="F15" s="490" t="str">
        <f t="shared" si="0"/>
        <v>----</v>
      </c>
      <c r="G15" s="478"/>
      <c r="H15" s="490" t="str">
        <f t="shared" si="1"/>
        <v>----</v>
      </c>
      <c r="I15" s="491"/>
      <c r="J15" s="456" t="str">
        <f t="shared" si="2"/>
        <v>----</v>
      </c>
    </row>
    <row r="16" spans="1:10" s="437" customFormat="1">
      <c r="A16" s="454"/>
      <c r="B16" s="455"/>
      <c r="C16" s="451"/>
      <c r="D16" s="471"/>
      <c r="E16" s="478"/>
      <c r="F16" s="490" t="str">
        <f t="shared" si="0"/>
        <v>----</v>
      </c>
      <c r="G16" s="478"/>
      <c r="H16" s="490" t="str">
        <f t="shared" si="1"/>
        <v>----</v>
      </c>
      <c r="I16" s="491"/>
      <c r="J16" s="456" t="str">
        <f t="shared" si="2"/>
        <v>----</v>
      </c>
    </row>
    <row r="17" spans="1:11" s="437" customFormat="1">
      <c r="A17" s="454"/>
      <c r="B17" s="455"/>
      <c r="C17" s="451"/>
      <c r="D17" s="471"/>
      <c r="E17" s="478"/>
      <c r="F17" s="490" t="str">
        <f t="shared" si="0"/>
        <v>----</v>
      </c>
      <c r="G17" s="478"/>
      <c r="H17" s="490" t="str">
        <f t="shared" si="1"/>
        <v>----</v>
      </c>
      <c r="I17" s="491"/>
      <c r="J17" s="456" t="str">
        <f t="shared" si="2"/>
        <v>----</v>
      </c>
    </row>
    <row r="18" spans="1:11">
      <c r="A18" s="457"/>
      <c r="B18" s="458"/>
      <c r="C18" s="459"/>
      <c r="D18" s="472"/>
      <c r="E18" s="479"/>
      <c r="F18" s="492" t="str">
        <f t="shared" si="0"/>
        <v>----</v>
      </c>
      <c r="G18" s="479"/>
      <c r="H18" s="492" t="str">
        <f t="shared" si="1"/>
        <v>----</v>
      </c>
      <c r="I18" s="493"/>
      <c r="J18" s="460" t="str">
        <f t="shared" si="2"/>
        <v>----</v>
      </c>
    </row>
    <row r="19" spans="1:11" ht="15.75" thickBot="1">
      <c r="A19" s="74"/>
      <c r="B19" s="75"/>
      <c r="C19" s="76"/>
      <c r="D19" s="435"/>
      <c r="E19" s="480"/>
      <c r="F19" s="481" t="str">
        <f t="shared" si="0"/>
        <v>----</v>
      </c>
      <c r="G19" s="480"/>
      <c r="H19" s="481" t="str">
        <f t="shared" si="1"/>
        <v>----</v>
      </c>
      <c r="I19" s="486"/>
      <c r="J19" s="77" t="str">
        <f t="shared" si="2"/>
        <v>----</v>
      </c>
    </row>
    <row r="20" spans="1:11" ht="15.75" thickBot="1">
      <c r="A20" s="27"/>
      <c r="B20" s="27"/>
      <c r="C20" s="28"/>
      <c r="D20" s="28"/>
      <c r="E20" s="444"/>
      <c r="F20" s="446">
        <f>SUM(F4:F19)</f>
        <v>0</v>
      </c>
      <c r="G20" s="444"/>
      <c r="H20" s="446">
        <f>SUM(H4:H19)</f>
        <v>0</v>
      </c>
      <c r="I20" s="28"/>
      <c r="J20" s="69">
        <f>SUM(J4:J19)</f>
        <v>0</v>
      </c>
      <c r="K20" s="17"/>
    </row>
    <row r="21" spans="1:11">
      <c r="A21" s="17"/>
      <c r="B21" s="17"/>
      <c r="C21" s="20"/>
      <c r="D21" s="20"/>
      <c r="E21" s="440"/>
      <c r="F21" s="440"/>
      <c r="G21" s="440"/>
      <c r="H21" s="440"/>
      <c r="I21" s="20"/>
      <c r="J21" s="20"/>
      <c r="K21" s="17"/>
    </row>
    <row r="22" spans="1:11">
      <c r="A22" s="17"/>
      <c r="B22" s="17"/>
      <c r="C22" s="20"/>
      <c r="D22" s="20"/>
      <c r="E22" s="440"/>
      <c r="F22" s="440"/>
      <c r="G22" s="440"/>
      <c r="H22" s="440"/>
      <c r="I22" s="20"/>
      <c r="J22" s="20"/>
      <c r="K22" s="17"/>
    </row>
    <row r="23" spans="1:11">
      <c r="A23" s="17"/>
      <c r="B23" s="17"/>
      <c r="C23" s="20"/>
      <c r="D23" s="20"/>
      <c r="E23" s="440"/>
      <c r="F23" s="440"/>
      <c r="G23" s="440"/>
      <c r="H23" s="440"/>
      <c r="I23" s="20"/>
      <c r="J23" s="20"/>
      <c r="K23" s="17"/>
    </row>
    <row r="24" spans="1:11">
      <c r="A24" s="17"/>
      <c r="B24" s="17"/>
      <c r="C24" s="20"/>
      <c r="D24" s="20"/>
      <c r="E24" s="440"/>
      <c r="F24" s="440"/>
      <c r="G24" s="440"/>
      <c r="H24" s="440"/>
      <c r="I24" s="20"/>
      <c r="J24" s="20"/>
      <c r="K24" s="17"/>
    </row>
    <row r="25" spans="1:11">
      <c r="A25" s="17"/>
      <c r="B25" s="17"/>
      <c r="C25" s="20"/>
      <c r="D25" s="20"/>
      <c r="E25" s="440"/>
      <c r="F25" s="440"/>
      <c r="G25" s="440"/>
      <c r="H25" s="440"/>
      <c r="I25" s="20"/>
      <c r="J25" s="20"/>
      <c r="K25" s="17"/>
    </row>
    <row r="26" spans="1:11">
      <c r="A26" s="17"/>
      <c r="B26" s="17"/>
      <c r="C26" s="20"/>
      <c r="D26" s="20"/>
      <c r="E26" s="440"/>
      <c r="F26" s="440"/>
      <c r="G26" s="440"/>
      <c r="H26" s="440"/>
      <c r="I26" s="20"/>
      <c r="J26" s="20"/>
      <c r="K26" s="17"/>
    </row>
    <row r="27" spans="1:11">
      <c r="A27" s="17"/>
      <c r="B27" s="17"/>
      <c r="C27" s="20"/>
      <c r="D27" s="20"/>
      <c r="E27" s="440"/>
      <c r="F27" s="440"/>
      <c r="G27" s="440"/>
      <c r="H27" s="440"/>
      <c r="I27" s="20"/>
      <c r="J27" s="20"/>
      <c r="K27" s="17"/>
    </row>
    <row r="28" spans="1:11">
      <c r="A28" s="17"/>
      <c r="B28" s="17"/>
      <c r="C28" s="20"/>
      <c r="D28" s="20"/>
      <c r="E28" s="440"/>
      <c r="F28" s="440"/>
      <c r="G28" s="440"/>
      <c r="H28" s="440"/>
      <c r="I28" s="20"/>
      <c r="J28" s="20"/>
      <c r="K28" s="17"/>
    </row>
    <row r="29" spans="1:11">
      <c r="A29" s="17"/>
      <c r="B29" s="17"/>
      <c r="C29" s="20"/>
      <c r="D29" s="20"/>
      <c r="E29" s="440"/>
      <c r="F29" s="440"/>
      <c r="G29" s="440"/>
      <c r="H29" s="440"/>
      <c r="I29" s="20"/>
      <c r="J29" s="20"/>
      <c r="K29" s="17"/>
    </row>
    <row r="30" spans="1:11">
      <c r="A30" s="17"/>
      <c r="B30" s="17"/>
      <c r="C30" s="20"/>
      <c r="D30" s="20"/>
      <c r="E30" s="440"/>
      <c r="F30" s="440"/>
      <c r="G30" s="440"/>
      <c r="H30" s="440"/>
      <c r="I30" s="20"/>
      <c r="J30" s="20"/>
      <c r="K30" s="17"/>
    </row>
    <row r="31" spans="1:11">
      <c r="A31" s="17"/>
      <c r="B31" s="17"/>
      <c r="C31" s="20"/>
      <c r="D31" s="20"/>
      <c r="E31" s="440"/>
      <c r="F31" s="440"/>
      <c r="G31" s="440"/>
      <c r="H31" s="440"/>
      <c r="I31" s="20"/>
      <c r="J31" s="20"/>
      <c r="K31" s="17"/>
    </row>
    <row r="32" spans="1:11">
      <c r="A32" s="17"/>
      <c r="B32" s="17"/>
      <c r="C32" s="20"/>
      <c r="D32" s="20"/>
      <c r="E32" s="440"/>
      <c r="F32" s="440"/>
      <c r="G32" s="440"/>
      <c r="H32" s="440"/>
      <c r="I32" s="20"/>
      <c r="J32" s="20"/>
      <c r="K32" s="17"/>
    </row>
    <row r="33" spans="1:11">
      <c r="A33" s="17"/>
      <c r="B33" s="17"/>
      <c r="C33" s="20"/>
      <c r="D33" s="20"/>
      <c r="E33" s="440"/>
      <c r="F33" s="440"/>
      <c r="G33" s="440"/>
      <c r="H33" s="440"/>
      <c r="I33" s="20"/>
      <c r="J33" s="20"/>
      <c r="K33" s="17"/>
    </row>
    <row r="34" spans="1:11">
      <c r="A34" s="17"/>
      <c r="B34" s="17"/>
      <c r="C34" s="20"/>
      <c r="D34" s="20"/>
      <c r="E34" s="440"/>
      <c r="F34" s="440"/>
      <c r="G34" s="440"/>
      <c r="H34" s="440"/>
      <c r="I34" s="20"/>
      <c r="J34" s="20"/>
      <c r="K34" s="17"/>
    </row>
    <row r="35" spans="1:11">
      <c r="A35" s="17"/>
      <c r="B35" s="17"/>
      <c r="C35" s="20"/>
      <c r="D35" s="20"/>
      <c r="E35" s="440"/>
      <c r="F35" s="440"/>
      <c r="G35" s="440"/>
      <c r="H35" s="440"/>
      <c r="I35" s="20"/>
      <c r="J35" s="20"/>
      <c r="K35" s="17"/>
    </row>
    <row r="36" spans="1:11">
      <c r="C36" s="21"/>
      <c r="D36" s="21"/>
      <c r="E36" s="441"/>
      <c r="F36" s="441"/>
      <c r="G36" s="441"/>
      <c r="H36" s="441"/>
      <c r="I36" s="21"/>
      <c r="J36" s="21"/>
    </row>
    <row r="37" spans="1:11">
      <c r="C37" s="21"/>
      <c r="D37" s="21"/>
      <c r="E37" s="441"/>
      <c r="F37" s="441"/>
      <c r="G37" s="441"/>
      <c r="H37" s="441"/>
      <c r="I37" s="21"/>
      <c r="J37" s="21"/>
    </row>
    <row r="38" spans="1:11">
      <c r="C38" s="22"/>
      <c r="D38" s="22"/>
      <c r="E38" s="442"/>
      <c r="F38" s="442"/>
      <c r="G38" s="442"/>
      <c r="H38" s="442"/>
      <c r="I38" s="22"/>
      <c r="J38" s="22"/>
    </row>
    <row r="39" spans="1:11">
      <c r="C39" s="22"/>
      <c r="D39" s="22"/>
      <c r="E39" s="442"/>
      <c r="F39" s="442"/>
      <c r="G39" s="442"/>
      <c r="H39" s="442"/>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7" bestFit="1" customWidth="1"/>
    <col min="6" max="6" width="12.5703125" style="437" customWidth="1"/>
    <col min="7" max="7" width="10.7109375" style="437" bestFit="1" customWidth="1"/>
    <col min="8" max="8" width="12.5703125" style="437" customWidth="1"/>
    <col min="9" max="9" width="10.7109375" bestFit="1" customWidth="1"/>
    <col min="10" max="10" width="12.5703125" customWidth="1"/>
  </cols>
  <sheetData>
    <row r="1" spans="1:10" ht="15.75" thickBot="1">
      <c r="A1" s="932" t="s">
        <v>182</v>
      </c>
      <c r="B1" s="933"/>
      <c r="C1" s="933"/>
      <c r="D1" s="933"/>
      <c r="E1" s="933"/>
      <c r="F1" s="933"/>
      <c r="G1" s="933"/>
      <c r="H1" s="933"/>
      <c r="I1" s="933"/>
      <c r="J1" s="934"/>
    </row>
    <row r="2" spans="1:10" s="437" customFormat="1">
      <c r="A2" s="939" t="s">
        <v>110</v>
      </c>
      <c r="B2" s="941" t="s">
        <v>111</v>
      </c>
      <c r="C2" s="941" t="s">
        <v>112</v>
      </c>
      <c r="D2" s="943" t="s">
        <v>120</v>
      </c>
      <c r="E2" s="937" t="s">
        <v>702</v>
      </c>
      <c r="F2" s="938"/>
      <c r="G2" s="937" t="s">
        <v>703</v>
      </c>
      <c r="H2" s="938"/>
      <c r="I2" s="912" t="s">
        <v>801</v>
      </c>
      <c r="J2" s="913"/>
    </row>
    <row r="3" spans="1:10" ht="46.5" thickBot="1">
      <c r="A3" s="940"/>
      <c r="B3" s="942"/>
      <c r="C3" s="942"/>
      <c r="D3" s="944"/>
      <c r="E3" s="465" t="s">
        <v>121</v>
      </c>
      <c r="F3" s="473" t="s">
        <v>705</v>
      </c>
      <c r="G3" s="465" t="s">
        <v>121</v>
      </c>
      <c r="H3" s="473" t="s">
        <v>705</v>
      </c>
      <c r="I3" s="483" t="s">
        <v>121</v>
      </c>
      <c r="J3" s="25" t="s">
        <v>705</v>
      </c>
    </row>
    <row r="4" spans="1:10">
      <c r="A4" s="70">
        <v>43852</v>
      </c>
      <c r="B4" s="71" t="s">
        <v>199</v>
      </c>
      <c r="C4" s="72">
        <v>356465.93</v>
      </c>
      <c r="D4" s="72">
        <f>C4</f>
        <v>356465.93</v>
      </c>
      <c r="E4" s="474">
        <v>361583.6</v>
      </c>
      <c r="F4" s="475">
        <f t="shared" ref="F4:F9" si="0">IF(ISBLANK(E4),"----",E4-D4)</f>
        <v>5117.6699999999837</v>
      </c>
      <c r="G4" s="474" t="s">
        <v>704</v>
      </c>
      <c r="H4" s="475" t="str">
        <f t="shared" ref="H4:H9" si="1">IF(OR(G4="Complete",ISBLANK(G4)),"----",G4-$D4)</f>
        <v>----</v>
      </c>
      <c r="I4" s="484" t="s">
        <v>704</v>
      </c>
      <c r="J4" s="73" t="str">
        <f t="shared" ref="J4:J9" si="2">IF(OR(I4="Complete",ISBLANK(I4)),"----",I4-$D4)</f>
        <v>----</v>
      </c>
    </row>
    <row r="5" spans="1:10">
      <c r="A5" s="88">
        <v>43942</v>
      </c>
      <c r="B5" s="101" t="s">
        <v>243</v>
      </c>
      <c r="C5" s="82">
        <v>691772.2</v>
      </c>
      <c r="D5" s="82">
        <f>C5</f>
        <v>691772.2</v>
      </c>
      <c r="E5" s="476">
        <v>676290.05</v>
      </c>
      <c r="F5" s="477">
        <f t="shared" si="0"/>
        <v>-15482.149999999907</v>
      </c>
      <c r="G5" s="476" t="s">
        <v>704</v>
      </c>
      <c r="H5" s="477" t="str">
        <f t="shared" si="1"/>
        <v>----</v>
      </c>
      <c r="I5" s="489" t="s">
        <v>704</v>
      </c>
      <c r="J5" s="83" t="str">
        <f t="shared" si="2"/>
        <v>----</v>
      </c>
    </row>
    <row r="6" spans="1:10">
      <c r="A6" s="88">
        <v>43942</v>
      </c>
      <c r="B6" s="101" t="s">
        <v>244</v>
      </c>
      <c r="C6" s="82">
        <v>285958.26</v>
      </c>
      <c r="D6" s="82">
        <f>C6</f>
        <v>285958.26</v>
      </c>
      <c r="E6" s="478"/>
      <c r="F6" s="477" t="str">
        <f t="shared" si="0"/>
        <v>----</v>
      </c>
      <c r="G6" s="476"/>
      <c r="H6" s="477" t="str">
        <f t="shared" si="1"/>
        <v>----</v>
      </c>
      <c r="I6" s="489"/>
      <c r="J6" s="83" t="str">
        <f t="shared" si="2"/>
        <v>----</v>
      </c>
    </row>
    <row r="7" spans="1:10">
      <c r="A7" s="88"/>
      <c r="B7" s="101"/>
      <c r="C7" s="82"/>
      <c r="D7" s="82"/>
      <c r="E7" s="478"/>
      <c r="F7" s="477" t="str">
        <f t="shared" si="0"/>
        <v>----</v>
      </c>
      <c r="G7" s="476"/>
      <c r="H7" s="477" t="str">
        <f t="shared" si="1"/>
        <v>----</v>
      </c>
      <c r="I7" s="489"/>
      <c r="J7" s="83" t="str">
        <f t="shared" si="2"/>
        <v>----</v>
      </c>
    </row>
    <row r="8" spans="1:10">
      <c r="A8" s="88"/>
      <c r="B8" s="101"/>
      <c r="C8" s="82"/>
      <c r="D8" s="82"/>
      <c r="E8" s="478"/>
      <c r="F8" s="477" t="str">
        <f t="shared" si="0"/>
        <v>----</v>
      </c>
      <c r="G8" s="476"/>
      <c r="H8" s="477" t="str">
        <f t="shared" si="1"/>
        <v>----</v>
      </c>
      <c r="I8" s="489"/>
      <c r="J8" s="83" t="str">
        <f t="shared" si="2"/>
        <v>----</v>
      </c>
    </row>
    <row r="9" spans="1:10" ht="15.75" thickBot="1">
      <c r="A9" s="74"/>
      <c r="B9" s="75"/>
      <c r="C9" s="76"/>
      <c r="D9" s="76"/>
      <c r="E9" s="675"/>
      <c r="F9" s="676" t="str">
        <f t="shared" si="0"/>
        <v>----</v>
      </c>
      <c r="G9" s="480"/>
      <c r="H9" s="481" t="str">
        <f t="shared" si="1"/>
        <v>----</v>
      </c>
      <c r="I9" s="486"/>
      <c r="J9" s="77" t="str">
        <f t="shared" si="2"/>
        <v>----</v>
      </c>
    </row>
    <row r="10" spans="1:10" ht="15.75" thickBot="1">
      <c r="A10" s="27"/>
      <c r="B10" s="27"/>
      <c r="C10" s="28"/>
      <c r="D10" s="28"/>
      <c r="E10" s="444"/>
      <c r="F10" s="446">
        <f>SUM(F4:F9)</f>
        <v>-10364.479999999923</v>
      </c>
      <c r="G10" s="444"/>
      <c r="H10" s="446">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7" bestFit="1" customWidth="1"/>
    <col min="6" max="6" width="11.85546875" style="437" customWidth="1"/>
    <col min="7" max="7" width="10.7109375" style="437" bestFit="1" customWidth="1"/>
    <col min="8" max="8" width="11.85546875" style="437" customWidth="1"/>
    <col min="9" max="9" width="10.7109375" bestFit="1" customWidth="1"/>
    <col min="10" max="10" width="11.85546875" customWidth="1"/>
  </cols>
  <sheetData>
    <row r="1" spans="1:10" ht="15.75" thickBot="1">
      <c r="A1" s="932" t="s">
        <v>183</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705</v>
      </c>
      <c r="G3" s="465" t="s">
        <v>121</v>
      </c>
      <c r="H3" s="473" t="s">
        <v>705</v>
      </c>
      <c r="I3" s="483" t="s">
        <v>121</v>
      </c>
      <c r="J3" s="25" t="s">
        <v>705</v>
      </c>
    </row>
    <row r="4" spans="1:10">
      <c r="A4" s="70">
        <v>43852</v>
      </c>
      <c r="B4" s="71" t="s">
        <v>198</v>
      </c>
      <c r="C4" s="72">
        <v>370916</v>
      </c>
      <c r="D4" s="434">
        <f t="shared" ref="D4:D9" si="0">C4</f>
        <v>370916</v>
      </c>
      <c r="E4" s="474"/>
      <c r="F4" s="475" t="str">
        <f t="shared" ref="F4:F22" si="1">IF(ISBLANK(E4),"----",E4-D4)</f>
        <v>----</v>
      </c>
      <c r="G4" s="474"/>
      <c r="H4" s="475" t="str">
        <f t="shared" ref="H4:H22" si="2">IF(OR(G4="Complete",ISBLANK(G4)),"----",G4-$D4)</f>
        <v>----</v>
      </c>
      <c r="I4" s="484"/>
      <c r="J4" s="73" t="str">
        <f t="shared" ref="J4:J22" si="3">IF(OR(I4="Complete",ISBLANK(I4)),"----",I4-$D4)</f>
        <v>----</v>
      </c>
    </row>
    <row r="5" spans="1:10">
      <c r="A5" s="88">
        <v>44243</v>
      </c>
      <c r="B5" s="101" t="s">
        <v>398</v>
      </c>
      <c r="C5" s="82">
        <v>475510.3</v>
      </c>
      <c r="D5" s="436">
        <f t="shared" si="0"/>
        <v>475510.3</v>
      </c>
      <c r="E5" s="476">
        <v>473971.95</v>
      </c>
      <c r="F5" s="477">
        <f t="shared" si="1"/>
        <v>-1538.3499999999767</v>
      </c>
      <c r="G5" s="476" t="s">
        <v>704</v>
      </c>
      <c r="H5" s="477" t="str">
        <f t="shared" si="2"/>
        <v>----</v>
      </c>
      <c r="I5" s="489" t="s">
        <v>704</v>
      </c>
      <c r="J5" s="83" t="str">
        <f t="shared" si="3"/>
        <v>----</v>
      </c>
    </row>
    <row r="6" spans="1:10">
      <c r="A6" s="102">
        <v>44635</v>
      </c>
      <c r="B6" s="103" t="s">
        <v>504</v>
      </c>
      <c r="C6" s="87">
        <v>651352.75</v>
      </c>
      <c r="D6" s="471">
        <f t="shared" si="0"/>
        <v>651352.75</v>
      </c>
      <c r="E6" s="478">
        <v>656835.97</v>
      </c>
      <c r="F6" s="477">
        <f t="shared" si="1"/>
        <v>5483.2199999999721</v>
      </c>
      <c r="G6" s="478" t="s">
        <v>704</v>
      </c>
      <c r="H6" s="477" t="str">
        <f t="shared" si="2"/>
        <v>----</v>
      </c>
      <c r="I6" s="491" t="s">
        <v>704</v>
      </c>
      <c r="J6" s="83" t="str">
        <f t="shared" si="3"/>
        <v>----</v>
      </c>
    </row>
    <row r="7" spans="1:10">
      <c r="A7" s="102">
        <v>44944</v>
      </c>
      <c r="B7" s="103" t="s">
        <v>629</v>
      </c>
      <c r="C7" s="87">
        <v>485307.25</v>
      </c>
      <c r="D7" s="471">
        <f t="shared" si="0"/>
        <v>485307.25</v>
      </c>
      <c r="E7" s="478"/>
      <c r="F7" s="477" t="str">
        <f t="shared" si="1"/>
        <v>----</v>
      </c>
      <c r="G7" s="478"/>
      <c r="H7" s="477" t="str">
        <f t="shared" si="2"/>
        <v>----</v>
      </c>
      <c r="I7" s="491"/>
      <c r="J7" s="83" t="str">
        <f t="shared" si="3"/>
        <v>----</v>
      </c>
    </row>
    <row r="8" spans="1:10">
      <c r="A8" s="102">
        <v>45279</v>
      </c>
      <c r="B8" s="103" t="s">
        <v>692</v>
      </c>
      <c r="C8" s="87">
        <v>432049</v>
      </c>
      <c r="D8" s="471">
        <f t="shared" si="0"/>
        <v>432049</v>
      </c>
      <c r="E8" s="478"/>
      <c r="F8" s="477" t="str">
        <f t="shared" si="1"/>
        <v>----</v>
      </c>
      <c r="G8" s="478"/>
      <c r="H8" s="477" t="str">
        <f t="shared" si="2"/>
        <v>----</v>
      </c>
      <c r="I8" s="491"/>
      <c r="J8" s="83" t="str">
        <f t="shared" si="3"/>
        <v>----</v>
      </c>
    </row>
    <row r="9" spans="1:10">
      <c r="A9" s="102">
        <v>45398</v>
      </c>
      <c r="B9" s="455" t="s">
        <v>740</v>
      </c>
      <c r="C9" s="373">
        <v>801043.5</v>
      </c>
      <c r="D9" s="572">
        <f t="shared" si="0"/>
        <v>801043.5</v>
      </c>
      <c r="E9" s="478"/>
      <c r="F9" s="477" t="str">
        <f t="shared" si="1"/>
        <v>----</v>
      </c>
      <c r="G9" s="478"/>
      <c r="H9" s="477" t="str">
        <f t="shared" si="2"/>
        <v>----</v>
      </c>
      <c r="I9" s="491"/>
      <c r="J9" s="83" t="str">
        <f t="shared" si="3"/>
        <v>----</v>
      </c>
    </row>
    <row r="10" spans="1:10">
      <c r="A10" s="102"/>
      <c r="B10" s="103"/>
      <c r="C10" s="87"/>
      <c r="D10" s="471"/>
      <c r="E10" s="478"/>
      <c r="F10" s="477" t="str">
        <f t="shared" si="1"/>
        <v>----</v>
      </c>
      <c r="G10" s="478"/>
      <c r="H10" s="477" t="str">
        <f t="shared" si="2"/>
        <v>----</v>
      </c>
      <c r="I10" s="491"/>
      <c r="J10" s="83" t="str">
        <f t="shared" si="3"/>
        <v>----</v>
      </c>
    </row>
    <row r="11" spans="1:10">
      <c r="A11" s="102"/>
      <c r="B11" s="103"/>
      <c r="C11" s="87"/>
      <c r="D11" s="471"/>
      <c r="E11" s="478"/>
      <c r="F11" s="477" t="str">
        <f t="shared" si="1"/>
        <v>----</v>
      </c>
      <c r="G11" s="478"/>
      <c r="H11" s="477" t="str">
        <f t="shared" si="2"/>
        <v>----</v>
      </c>
      <c r="I11" s="491"/>
      <c r="J11" s="83" t="str">
        <f t="shared" si="3"/>
        <v>----</v>
      </c>
    </row>
    <row r="12" spans="1:10">
      <c r="A12" s="102"/>
      <c r="B12" s="103"/>
      <c r="C12" s="87"/>
      <c r="D12" s="471"/>
      <c r="E12" s="478"/>
      <c r="F12" s="477" t="str">
        <f t="shared" si="1"/>
        <v>----</v>
      </c>
      <c r="G12" s="478"/>
      <c r="H12" s="477" t="str">
        <f t="shared" si="2"/>
        <v>----</v>
      </c>
      <c r="I12" s="491"/>
      <c r="J12" s="83" t="str">
        <f t="shared" si="3"/>
        <v>----</v>
      </c>
    </row>
    <row r="13" spans="1:10">
      <c r="A13" s="102"/>
      <c r="B13" s="103"/>
      <c r="C13" s="87"/>
      <c r="D13" s="471"/>
      <c r="E13" s="478"/>
      <c r="F13" s="477" t="str">
        <f t="shared" si="1"/>
        <v>----</v>
      </c>
      <c r="G13" s="478"/>
      <c r="H13" s="477" t="str">
        <f t="shared" si="2"/>
        <v>----</v>
      </c>
      <c r="I13" s="491"/>
      <c r="J13" s="83" t="str">
        <f t="shared" si="3"/>
        <v>----</v>
      </c>
    </row>
    <row r="14" spans="1:10">
      <c r="A14" s="102"/>
      <c r="B14" s="103"/>
      <c r="C14" s="87"/>
      <c r="D14" s="471"/>
      <c r="E14" s="478"/>
      <c r="F14" s="477" t="str">
        <f t="shared" si="1"/>
        <v>----</v>
      </c>
      <c r="G14" s="478"/>
      <c r="H14" s="477" t="str">
        <f t="shared" si="2"/>
        <v>----</v>
      </c>
      <c r="I14" s="491"/>
      <c r="J14" s="83" t="str">
        <f t="shared" si="3"/>
        <v>----</v>
      </c>
    </row>
    <row r="15" spans="1:10">
      <c r="A15" s="102"/>
      <c r="B15" s="103"/>
      <c r="C15" s="87"/>
      <c r="D15" s="471"/>
      <c r="E15" s="478"/>
      <c r="F15" s="477" t="str">
        <f t="shared" si="1"/>
        <v>----</v>
      </c>
      <c r="G15" s="478"/>
      <c r="H15" s="477" t="str">
        <f t="shared" si="2"/>
        <v>----</v>
      </c>
      <c r="I15" s="491"/>
      <c r="J15" s="83" t="str">
        <f t="shared" si="3"/>
        <v>----</v>
      </c>
    </row>
    <row r="16" spans="1:10">
      <c r="A16" s="102"/>
      <c r="B16" s="103"/>
      <c r="C16" s="87"/>
      <c r="D16" s="471"/>
      <c r="E16" s="478"/>
      <c r="F16" s="477" t="str">
        <f t="shared" si="1"/>
        <v>----</v>
      </c>
      <c r="G16" s="478"/>
      <c r="H16" s="477" t="str">
        <f t="shared" si="2"/>
        <v>----</v>
      </c>
      <c r="I16" s="491"/>
      <c r="J16" s="83" t="str">
        <f t="shared" si="3"/>
        <v>----</v>
      </c>
    </row>
    <row r="17" spans="1:10">
      <c r="A17" s="102"/>
      <c r="B17" s="103"/>
      <c r="C17" s="87"/>
      <c r="D17" s="471"/>
      <c r="E17" s="478"/>
      <c r="F17" s="477" t="str">
        <f t="shared" si="1"/>
        <v>----</v>
      </c>
      <c r="G17" s="478"/>
      <c r="H17" s="477" t="str">
        <f t="shared" si="2"/>
        <v>----</v>
      </c>
      <c r="I17" s="491"/>
      <c r="J17" s="83" t="str">
        <f t="shared" si="3"/>
        <v>----</v>
      </c>
    </row>
    <row r="18" spans="1:10">
      <c r="A18" s="102"/>
      <c r="B18" s="103"/>
      <c r="C18" s="87"/>
      <c r="D18" s="471"/>
      <c r="E18" s="478"/>
      <c r="F18" s="477" t="str">
        <f t="shared" si="1"/>
        <v>----</v>
      </c>
      <c r="G18" s="478"/>
      <c r="H18" s="477" t="str">
        <f t="shared" si="2"/>
        <v>----</v>
      </c>
      <c r="I18" s="491"/>
      <c r="J18" s="83" t="str">
        <f t="shared" si="3"/>
        <v>----</v>
      </c>
    </row>
    <row r="19" spans="1:10">
      <c r="A19" s="102"/>
      <c r="B19" s="103"/>
      <c r="C19" s="87"/>
      <c r="D19" s="471"/>
      <c r="E19" s="478"/>
      <c r="F19" s="477" t="str">
        <f t="shared" si="1"/>
        <v>----</v>
      </c>
      <c r="G19" s="478"/>
      <c r="H19" s="477" t="str">
        <f t="shared" si="2"/>
        <v>----</v>
      </c>
      <c r="I19" s="491"/>
      <c r="J19" s="83" t="str">
        <f t="shared" si="3"/>
        <v>----</v>
      </c>
    </row>
    <row r="20" spans="1:10">
      <c r="A20" s="102"/>
      <c r="B20" s="103"/>
      <c r="C20" s="87"/>
      <c r="D20" s="471"/>
      <c r="E20" s="478"/>
      <c r="F20" s="477" t="str">
        <f t="shared" si="1"/>
        <v>----</v>
      </c>
      <c r="G20" s="478"/>
      <c r="H20" s="477" t="str">
        <f t="shared" si="2"/>
        <v>----</v>
      </c>
      <c r="I20" s="491"/>
      <c r="J20" s="83" t="str">
        <f t="shared" si="3"/>
        <v>----</v>
      </c>
    </row>
    <row r="21" spans="1:10">
      <c r="A21" s="116"/>
      <c r="B21" s="117"/>
      <c r="C21" s="118"/>
      <c r="D21" s="472"/>
      <c r="E21" s="479"/>
      <c r="F21" s="477" t="str">
        <f t="shared" si="1"/>
        <v>----</v>
      </c>
      <c r="G21" s="479"/>
      <c r="H21" s="477" t="str">
        <f t="shared" si="2"/>
        <v>----</v>
      </c>
      <c r="I21" s="493"/>
      <c r="J21" s="83" t="str">
        <f t="shared" si="3"/>
        <v>----</v>
      </c>
    </row>
    <row r="22" spans="1:10" ht="15.75" thickBot="1">
      <c r="A22" s="74"/>
      <c r="B22" s="75"/>
      <c r="C22" s="76"/>
      <c r="D22" s="435"/>
      <c r="E22" s="480"/>
      <c r="F22" s="481" t="str">
        <f t="shared" si="1"/>
        <v>----</v>
      </c>
      <c r="G22" s="480"/>
      <c r="H22" s="481" t="str">
        <f t="shared" si="2"/>
        <v>----</v>
      </c>
      <c r="I22" s="486"/>
      <c r="J22" s="77" t="str">
        <f t="shared" si="3"/>
        <v>----</v>
      </c>
    </row>
    <row r="23" spans="1:10" ht="15.75" thickBot="1">
      <c r="A23" s="27"/>
      <c r="B23" s="27"/>
      <c r="C23" s="28"/>
      <c r="D23" s="28"/>
      <c r="E23" s="444"/>
      <c r="F23" s="446">
        <f>SUM(F4:F22)</f>
        <v>3944.8699999999953</v>
      </c>
      <c r="G23" s="444"/>
      <c r="H23" s="446">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0" sqref="G10"/>
    </sheetView>
  </sheetViews>
  <sheetFormatPr defaultRowHeight="15"/>
  <cols>
    <col min="2" max="2" width="22.7109375" bestFit="1" customWidth="1"/>
    <col min="3" max="3" width="12" bestFit="1" customWidth="1"/>
    <col min="4" max="4" width="12" customWidth="1"/>
    <col min="5" max="5" width="10.7109375" style="437" customWidth="1"/>
    <col min="6" max="6" width="14.140625" style="437" customWidth="1"/>
    <col min="7" max="7" width="10.7109375" style="437" customWidth="1"/>
    <col min="8" max="8" width="14.140625" style="437" customWidth="1"/>
    <col min="9" max="9" width="10.7109375" customWidth="1"/>
    <col min="10" max="10" width="14.140625" customWidth="1"/>
  </cols>
  <sheetData>
    <row r="1" spans="1:11" ht="15.75" thickBot="1">
      <c r="A1" s="932" t="s">
        <v>184</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43852</v>
      </c>
      <c r="B4" s="71" t="s">
        <v>197</v>
      </c>
      <c r="C4" s="72">
        <v>327863.76</v>
      </c>
      <c r="D4" s="434">
        <f>C4</f>
        <v>327863.76</v>
      </c>
      <c r="E4" s="474">
        <v>317591.09999999998</v>
      </c>
      <c r="F4" s="475">
        <f t="shared" ref="F4:F23" si="0">IF(ISBLANK(E4),"----",E4-D4)</f>
        <v>-10272.660000000033</v>
      </c>
      <c r="G4" s="474" t="s">
        <v>704</v>
      </c>
      <c r="H4" s="475" t="str">
        <f t="shared" ref="H4:H23" si="1">IF(OR(G4="Complete",ISBLANK(G4)),"----",G4-$D4)</f>
        <v>----</v>
      </c>
      <c r="I4" s="484" t="s">
        <v>704</v>
      </c>
      <c r="J4" s="73" t="str">
        <f t="shared" ref="J4:J23" si="2">IF(OR(I4="Complete",ISBLANK(I4)),"----",I4-$D4)</f>
        <v>----</v>
      </c>
    </row>
    <row r="5" spans="1:11">
      <c r="A5" s="91">
        <v>43942</v>
      </c>
      <c r="B5" s="92" t="s">
        <v>242</v>
      </c>
      <c r="C5" s="84">
        <v>276859.71999999997</v>
      </c>
      <c r="D5" s="482">
        <v>72034.720000000001</v>
      </c>
      <c r="E5" s="487">
        <v>69979.679999999993</v>
      </c>
      <c r="F5" s="529">
        <f t="shared" si="0"/>
        <v>-2055.0400000000081</v>
      </c>
      <c r="G5" s="487" t="s">
        <v>704</v>
      </c>
      <c r="H5" s="529" t="str">
        <f t="shared" si="1"/>
        <v>----</v>
      </c>
      <c r="I5" s="485" t="s">
        <v>704</v>
      </c>
      <c r="J5" s="140" t="str">
        <f t="shared" si="2"/>
        <v>----</v>
      </c>
    </row>
    <row r="6" spans="1:11">
      <c r="A6" s="102">
        <v>44216</v>
      </c>
      <c r="B6" s="103" t="s">
        <v>378</v>
      </c>
      <c r="C6" s="87">
        <v>362056.95</v>
      </c>
      <c r="D6" s="471">
        <f>C6</f>
        <v>362056.95</v>
      </c>
      <c r="E6" s="478">
        <v>364598.14</v>
      </c>
      <c r="F6" s="529">
        <f t="shared" si="0"/>
        <v>2541.1900000000023</v>
      </c>
      <c r="G6" s="478" t="s">
        <v>704</v>
      </c>
      <c r="H6" s="529" t="str">
        <f t="shared" si="1"/>
        <v>----</v>
      </c>
      <c r="I6" s="491" t="s">
        <v>704</v>
      </c>
      <c r="J6" s="140" t="str">
        <f t="shared" si="2"/>
        <v>----</v>
      </c>
    </row>
    <row r="7" spans="1:11">
      <c r="A7" s="102">
        <v>44551</v>
      </c>
      <c r="B7" s="258" t="s">
        <v>483</v>
      </c>
      <c r="C7" s="87">
        <v>407823.62</v>
      </c>
      <c r="D7" s="471">
        <f>C7</f>
        <v>407823.62</v>
      </c>
      <c r="E7" s="478">
        <v>402076.73</v>
      </c>
      <c r="F7" s="529">
        <f t="shared" si="0"/>
        <v>-5746.890000000014</v>
      </c>
      <c r="G7" s="478" t="s">
        <v>704</v>
      </c>
      <c r="H7" s="529" t="str">
        <f t="shared" si="1"/>
        <v>----</v>
      </c>
      <c r="I7" s="491" t="s">
        <v>704</v>
      </c>
      <c r="J7" s="140" t="str">
        <f t="shared" si="2"/>
        <v>----</v>
      </c>
    </row>
    <row r="8" spans="1:11">
      <c r="A8" s="102">
        <v>44607</v>
      </c>
      <c r="B8" s="258" t="s">
        <v>626</v>
      </c>
      <c r="C8" s="87">
        <v>1366530.48</v>
      </c>
      <c r="D8" s="471">
        <v>279268.59999999998</v>
      </c>
      <c r="E8" s="478"/>
      <c r="F8" s="529" t="str">
        <f t="shared" si="0"/>
        <v>----</v>
      </c>
      <c r="G8" s="478"/>
      <c r="H8" s="529" t="str">
        <f t="shared" si="1"/>
        <v>----</v>
      </c>
      <c r="I8" s="491"/>
      <c r="J8" s="140" t="str">
        <f t="shared" si="2"/>
        <v>----</v>
      </c>
      <c r="K8" t="s">
        <v>627</v>
      </c>
    </row>
    <row r="9" spans="1:11">
      <c r="A9" s="102">
        <v>44915</v>
      </c>
      <c r="B9" s="103" t="s">
        <v>615</v>
      </c>
      <c r="C9" s="87">
        <v>510316.15</v>
      </c>
      <c r="D9" s="471">
        <f>C9</f>
        <v>510316.15</v>
      </c>
      <c r="E9" s="478"/>
      <c r="F9" s="529" t="str">
        <f t="shared" si="0"/>
        <v>----</v>
      </c>
      <c r="G9" s="478">
        <v>511678.65</v>
      </c>
      <c r="H9" s="529">
        <f t="shared" si="1"/>
        <v>1362.5</v>
      </c>
      <c r="I9" s="491"/>
      <c r="J9" s="140" t="str">
        <f t="shared" si="2"/>
        <v>----</v>
      </c>
    </row>
    <row r="10" spans="1:11">
      <c r="A10" s="102">
        <v>45370</v>
      </c>
      <c r="B10" s="103" t="s">
        <v>734</v>
      </c>
      <c r="C10" s="87">
        <v>659050.01</v>
      </c>
      <c r="D10" s="471">
        <f>C10</f>
        <v>659050.01</v>
      </c>
      <c r="E10" s="478"/>
      <c r="F10" s="529" t="str">
        <f t="shared" si="0"/>
        <v>----</v>
      </c>
      <c r="G10" s="478"/>
      <c r="H10" s="529" t="str">
        <f t="shared" si="1"/>
        <v>----</v>
      </c>
      <c r="I10" s="491"/>
      <c r="J10" s="140" t="str">
        <f t="shared" si="2"/>
        <v>----</v>
      </c>
    </row>
    <row r="11" spans="1:11">
      <c r="A11" s="102"/>
      <c r="B11" s="103"/>
      <c r="C11" s="87"/>
      <c r="D11" s="471"/>
      <c r="E11" s="478"/>
      <c r="F11" s="529" t="str">
        <f t="shared" si="0"/>
        <v>----</v>
      </c>
      <c r="G11" s="478"/>
      <c r="H11" s="529" t="str">
        <f t="shared" si="1"/>
        <v>----</v>
      </c>
      <c r="I11" s="491"/>
      <c r="J11" s="140" t="str">
        <f t="shared" si="2"/>
        <v>----</v>
      </c>
    </row>
    <row r="12" spans="1:11">
      <c r="A12" s="102"/>
      <c r="B12" s="103"/>
      <c r="C12" s="87"/>
      <c r="D12" s="471"/>
      <c r="E12" s="478"/>
      <c r="F12" s="529" t="str">
        <f t="shared" si="0"/>
        <v>----</v>
      </c>
      <c r="G12" s="478"/>
      <c r="H12" s="529" t="str">
        <f t="shared" si="1"/>
        <v>----</v>
      </c>
      <c r="I12" s="491"/>
      <c r="J12" s="140" t="str">
        <f t="shared" si="2"/>
        <v>----</v>
      </c>
    </row>
    <row r="13" spans="1:11">
      <c r="A13" s="102"/>
      <c r="B13" s="103"/>
      <c r="C13" s="87"/>
      <c r="D13" s="471"/>
      <c r="E13" s="478"/>
      <c r="F13" s="529" t="str">
        <f t="shared" si="0"/>
        <v>----</v>
      </c>
      <c r="G13" s="478"/>
      <c r="H13" s="529" t="str">
        <f t="shared" si="1"/>
        <v>----</v>
      </c>
      <c r="I13" s="491"/>
      <c r="J13" s="140" t="str">
        <f t="shared" si="2"/>
        <v>----</v>
      </c>
    </row>
    <row r="14" spans="1:11">
      <c r="A14" s="102"/>
      <c r="B14" s="103"/>
      <c r="C14" s="87"/>
      <c r="D14" s="471"/>
      <c r="E14" s="478"/>
      <c r="F14" s="529" t="str">
        <f t="shared" si="0"/>
        <v>----</v>
      </c>
      <c r="G14" s="478"/>
      <c r="H14" s="529" t="str">
        <f t="shared" si="1"/>
        <v>----</v>
      </c>
      <c r="I14" s="491"/>
      <c r="J14" s="140" t="str">
        <f t="shared" si="2"/>
        <v>----</v>
      </c>
    </row>
    <row r="15" spans="1:11">
      <c r="A15" s="102"/>
      <c r="B15" s="103"/>
      <c r="C15" s="87"/>
      <c r="D15" s="471"/>
      <c r="E15" s="478"/>
      <c r="F15" s="529" t="str">
        <f t="shared" si="0"/>
        <v>----</v>
      </c>
      <c r="G15" s="478"/>
      <c r="H15" s="529" t="str">
        <f t="shared" si="1"/>
        <v>----</v>
      </c>
      <c r="I15" s="491"/>
      <c r="J15" s="140" t="str">
        <f t="shared" si="2"/>
        <v>----</v>
      </c>
    </row>
    <row r="16" spans="1:11">
      <c r="A16" s="102"/>
      <c r="B16" s="103"/>
      <c r="C16" s="87"/>
      <c r="D16" s="471"/>
      <c r="E16" s="478"/>
      <c r="F16" s="529" t="str">
        <f t="shared" si="0"/>
        <v>----</v>
      </c>
      <c r="G16" s="478"/>
      <c r="H16" s="529" t="str">
        <f t="shared" si="1"/>
        <v>----</v>
      </c>
      <c r="I16" s="491"/>
      <c r="J16" s="140" t="str">
        <f t="shared" si="2"/>
        <v>----</v>
      </c>
    </row>
    <row r="17" spans="1:10">
      <c r="A17" s="102"/>
      <c r="B17" s="103"/>
      <c r="C17" s="87"/>
      <c r="D17" s="471"/>
      <c r="E17" s="478"/>
      <c r="F17" s="529" t="str">
        <f t="shared" si="0"/>
        <v>----</v>
      </c>
      <c r="G17" s="478"/>
      <c r="H17" s="529" t="str">
        <f t="shared" si="1"/>
        <v>----</v>
      </c>
      <c r="I17" s="491"/>
      <c r="J17" s="140" t="str">
        <f t="shared" si="2"/>
        <v>----</v>
      </c>
    </row>
    <row r="18" spans="1:10">
      <c r="A18" s="102"/>
      <c r="B18" s="103"/>
      <c r="C18" s="87"/>
      <c r="D18" s="471"/>
      <c r="E18" s="478"/>
      <c r="F18" s="529" t="str">
        <f t="shared" si="0"/>
        <v>----</v>
      </c>
      <c r="G18" s="478"/>
      <c r="H18" s="529" t="str">
        <f t="shared" si="1"/>
        <v>----</v>
      </c>
      <c r="I18" s="491"/>
      <c r="J18" s="140" t="str">
        <f t="shared" si="2"/>
        <v>----</v>
      </c>
    </row>
    <row r="19" spans="1:10">
      <c r="A19" s="102"/>
      <c r="B19" s="103"/>
      <c r="C19" s="87"/>
      <c r="D19" s="471"/>
      <c r="E19" s="478"/>
      <c r="F19" s="529" t="str">
        <f t="shared" si="0"/>
        <v>----</v>
      </c>
      <c r="G19" s="478"/>
      <c r="H19" s="529" t="str">
        <f t="shared" si="1"/>
        <v>----</v>
      </c>
      <c r="I19" s="491"/>
      <c r="J19" s="140" t="str">
        <f t="shared" si="2"/>
        <v>----</v>
      </c>
    </row>
    <row r="20" spans="1:10">
      <c r="A20" s="102"/>
      <c r="B20" s="103"/>
      <c r="C20" s="87"/>
      <c r="D20" s="471"/>
      <c r="E20" s="478"/>
      <c r="F20" s="529" t="str">
        <f t="shared" si="0"/>
        <v>----</v>
      </c>
      <c r="G20" s="478"/>
      <c r="H20" s="529" t="str">
        <f t="shared" si="1"/>
        <v>----</v>
      </c>
      <c r="I20" s="491"/>
      <c r="J20" s="140" t="str">
        <f t="shared" si="2"/>
        <v>----</v>
      </c>
    </row>
    <row r="21" spans="1:10">
      <c r="A21" s="102"/>
      <c r="B21" s="103"/>
      <c r="C21" s="87"/>
      <c r="D21" s="471"/>
      <c r="E21" s="478"/>
      <c r="F21" s="529" t="str">
        <f t="shared" si="0"/>
        <v>----</v>
      </c>
      <c r="G21" s="478"/>
      <c r="H21" s="529" t="str">
        <f t="shared" si="1"/>
        <v>----</v>
      </c>
      <c r="I21" s="491"/>
      <c r="J21" s="140" t="str">
        <f t="shared" si="2"/>
        <v>----</v>
      </c>
    </row>
    <row r="22" spans="1:10">
      <c r="A22" s="116"/>
      <c r="B22" s="117"/>
      <c r="C22" s="118"/>
      <c r="D22" s="472"/>
      <c r="E22" s="479"/>
      <c r="F22" s="529" t="str">
        <f t="shared" si="0"/>
        <v>----</v>
      </c>
      <c r="G22" s="479"/>
      <c r="H22" s="529" t="str">
        <f t="shared" si="1"/>
        <v>----</v>
      </c>
      <c r="I22" s="493"/>
      <c r="J22" s="140" t="str">
        <f t="shared" si="2"/>
        <v>----</v>
      </c>
    </row>
    <row r="23" spans="1:10" ht="15.75" thickBot="1">
      <c r="A23" s="74"/>
      <c r="B23" s="75"/>
      <c r="C23" s="76"/>
      <c r="D23" s="435"/>
      <c r="E23" s="480"/>
      <c r="F23" s="481" t="str">
        <f t="shared" si="0"/>
        <v>----</v>
      </c>
      <c r="G23" s="480"/>
      <c r="H23" s="481" t="str">
        <f t="shared" si="1"/>
        <v>----</v>
      </c>
      <c r="I23" s="486"/>
      <c r="J23" s="77" t="str">
        <f t="shared" si="2"/>
        <v>----</v>
      </c>
    </row>
    <row r="24" spans="1:10" ht="15.75" thickBot="1">
      <c r="A24" s="27"/>
      <c r="B24" s="27"/>
      <c r="C24" s="28"/>
      <c r="D24" s="28"/>
      <c r="E24" s="444"/>
      <c r="F24" s="446">
        <f>SUM(F4:F23)</f>
        <v>-15533.400000000052</v>
      </c>
      <c r="G24" s="444"/>
      <c r="H24" s="446">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7" bestFit="1" customWidth="1"/>
    <col min="6" max="6" width="9.85546875" style="437" bestFit="1" customWidth="1"/>
    <col min="7" max="7" width="12" style="437" bestFit="1" customWidth="1"/>
    <col min="8" max="8" width="9.85546875" style="437" bestFit="1" customWidth="1"/>
    <col min="9" max="9" width="12" bestFit="1" customWidth="1"/>
    <col min="10" max="10" width="11.28515625" customWidth="1"/>
  </cols>
  <sheetData>
    <row r="1" spans="1:10" ht="15.75" thickBot="1">
      <c r="A1" s="932" t="s">
        <v>266</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43998</v>
      </c>
      <c r="B4" s="71" t="s">
        <v>294</v>
      </c>
      <c r="C4" s="798">
        <v>1544905.43</v>
      </c>
      <c r="D4" s="805">
        <f>C4</f>
        <v>1544905.43</v>
      </c>
      <c r="E4" s="812">
        <v>1591872.42</v>
      </c>
      <c r="F4" s="821">
        <f t="shared" ref="F4:F23" si="0">IF(ISBLANK(E4),"----",E4-D4)</f>
        <v>46966.989999999991</v>
      </c>
      <c r="G4" s="812" t="s">
        <v>704</v>
      </c>
      <c r="H4" s="821" t="str">
        <f t="shared" ref="H4:H23" si="1">IF(OR(G4="Complete",ISBLANK(G4)),"----",G4-$D4)</f>
        <v>----</v>
      </c>
      <c r="I4" s="809" t="s">
        <v>704</v>
      </c>
      <c r="J4" s="822" t="str">
        <f t="shared" ref="J4:J23" si="2">IF(OR(I4="Complete",ISBLANK(I4)),"----",I4-$D4)</f>
        <v>----</v>
      </c>
    </row>
    <row r="5" spans="1:10">
      <c r="A5" s="962">
        <v>44460</v>
      </c>
      <c r="B5" s="101" t="s">
        <v>454</v>
      </c>
      <c r="C5" s="801">
        <v>1074811.21</v>
      </c>
      <c r="D5" s="806">
        <v>829021.21</v>
      </c>
      <c r="E5" s="813">
        <v>828573</v>
      </c>
      <c r="F5" s="825">
        <f t="shared" si="0"/>
        <v>-448.20999999996275</v>
      </c>
      <c r="G5" s="813" t="s">
        <v>704</v>
      </c>
      <c r="H5" s="825" t="str">
        <f t="shared" si="1"/>
        <v>----</v>
      </c>
      <c r="I5" s="810" t="s">
        <v>704</v>
      </c>
      <c r="J5" s="826" t="str">
        <f t="shared" si="2"/>
        <v>----</v>
      </c>
    </row>
    <row r="6" spans="1:10">
      <c r="A6" s="963"/>
      <c r="B6" s="92" t="s">
        <v>455</v>
      </c>
      <c r="C6" s="799">
        <v>1401033.03</v>
      </c>
      <c r="D6" s="815">
        <v>991383.03</v>
      </c>
      <c r="E6" s="817">
        <v>983685.24</v>
      </c>
      <c r="F6" s="679">
        <f t="shared" si="0"/>
        <v>-7697.7900000000373</v>
      </c>
      <c r="G6" s="817" t="s">
        <v>704</v>
      </c>
      <c r="H6" s="679" t="str">
        <f t="shared" si="1"/>
        <v>----</v>
      </c>
      <c r="I6" s="816" t="s">
        <v>704</v>
      </c>
      <c r="J6" s="680" t="str">
        <f t="shared" si="2"/>
        <v>----</v>
      </c>
    </row>
    <row r="7" spans="1:10">
      <c r="A7" s="223">
        <v>44944</v>
      </c>
      <c r="B7" s="117" t="s">
        <v>630</v>
      </c>
      <c r="C7" s="790">
        <v>1076454.8899999999</v>
      </c>
      <c r="D7" s="807">
        <f>C7</f>
        <v>1076454.8899999999</v>
      </c>
      <c r="E7" s="757"/>
      <c r="F7" s="791" t="str">
        <f t="shared" si="0"/>
        <v>----</v>
      </c>
      <c r="G7" s="757"/>
      <c r="H7" s="791" t="str">
        <f t="shared" si="1"/>
        <v>----</v>
      </c>
      <c r="I7" s="752">
        <v>1240673.22</v>
      </c>
      <c r="J7" s="792">
        <f t="shared" si="2"/>
        <v>164218.33000000007</v>
      </c>
    </row>
    <row r="8" spans="1:10">
      <c r="A8" s="223">
        <v>45279</v>
      </c>
      <c r="B8" s="117" t="s">
        <v>693</v>
      </c>
      <c r="C8" s="790">
        <v>1538699.68</v>
      </c>
      <c r="D8" s="807">
        <f>C8</f>
        <v>1538699.68</v>
      </c>
      <c r="E8" s="757"/>
      <c r="F8" s="791" t="str">
        <f t="shared" si="0"/>
        <v>----</v>
      </c>
      <c r="G8" s="757"/>
      <c r="H8" s="791" t="str">
        <f t="shared" si="1"/>
        <v>----</v>
      </c>
      <c r="I8" s="752"/>
      <c r="J8" s="792" t="str">
        <f t="shared" si="2"/>
        <v>----</v>
      </c>
    </row>
    <row r="9" spans="1:10">
      <c r="A9" s="223">
        <v>45679</v>
      </c>
      <c r="B9" s="458" t="s">
        <v>818</v>
      </c>
      <c r="C9" s="790">
        <v>2233387.4700000002</v>
      </c>
      <c r="D9" s="807">
        <f>C9</f>
        <v>2233387.4700000002</v>
      </c>
      <c r="E9" s="757"/>
      <c r="F9" s="791" t="str">
        <f t="shared" si="0"/>
        <v>----</v>
      </c>
      <c r="G9" s="757"/>
      <c r="H9" s="791" t="str">
        <f t="shared" si="1"/>
        <v>----</v>
      </c>
      <c r="I9" s="752"/>
      <c r="J9" s="792" t="str">
        <f t="shared" si="2"/>
        <v>----</v>
      </c>
    </row>
    <row r="10" spans="1:10">
      <c r="A10" s="223">
        <v>45706</v>
      </c>
      <c r="B10" s="458" t="s">
        <v>843</v>
      </c>
      <c r="C10" s="790">
        <v>1723742.19</v>
      </c>
      <c r="D10" s="807">
        <f>C10</f>
        <v>1723742.19</v>
      </c>
      <c r="E10" s="757"/>
      <c r="F10" s="791" t="str">
        <f t="shared" si="0"/>
        <v>----</v>
      </c>
      <c r="G10" s="757"/>
      <c r="H10" s="791" t="str">
        <f t="shared" si="1"/>
        <v>----</v>
      </c>
      <c r="I10" s="752"/>
      <c r="J10" s="792" t="str">
        <f t="shared" si="2"/>
        <v>----</v>
      </c>
    </row>
    <row r="11" spans="1:10">
      <c r="A11" s="223">
        <v>45706</v>
      </c>
      <c r="B11" s="458" t="s">
        <v>844</v>
      </c>
      <c r="C11" s="790">
        <v>806718.4</v>
      </c>
      <c r="D11" s="807">
        <f>C11</f>
        <v>806718.4</v>
      </c>
      <c r="E11" s="757"/>
      <c r="F11" s="791" t="str">
        <f t="shared" si="0"/>
        <v>----</v>
      </c>
      <c r="G11" s="757"/>
      <c r="H11" s="791" t="str">
        <f t="shared" si="1"/>
        <v>----</v>
      </c>
      <c r="I11" s="752"/>
      <c r="J11" s="792" t="str">
        <f t="shared" si="2"/>
        <v>----</v>
      </c>
    </row>
    <row r="12" spans="1:10">
      <c r="A12" s="223"/>
      <c r="B12" s="117"/>
      <c r="C12" s="790"/>
      <c r="D12" s="807"/>
      <c r="E12" s="757"/>
      <c r="F12" s="791" t="str">
        <f t="shared" si="0"/>
        <v>----</v>
      </c>
      <c r="G12" s="757"/>
      <c r="H12" s="791" t="str">
        <f t="shared" si="1"/>
        <v>----</v>
      </c>
      <c r="I12" s="752"/>
      <c r="J12" s="792" t="str">
        <f t="shared" si="2"/>
        <v>----</v>
      </c>
    </row>
    <row r="13" spans="1:10">
      <c r="A13" s="223"/>
      <c r="B13" s="117"/>
      <c r="C13" s="790"/>
      <c r="D13" s="807"/>
      <c r="E13" s="757"/>
      <c r="F13" s="791" t="str">
        <f t="shared" si="0"/>
        <v>----</v>
      </c>
      <c r="G13" s="757"/>
      <c r="H13" s="791" t="str">
        <f t="shared" si="1"/>
        <v>----</v>
      </c>
      <c r="I13" s="752"/>
      <c r="J13" s="792" t="str">
        <f t="shared" si="2"/>
        <v>----</v>
      </c>
    </row>
    <row r="14" spans="1:10">
      <c r="A14" s="223"/>
      <c r="B14" s="117"/>
      <c r="C14" s="790"/>
      <c r="D14" s="807"/>
      <c r="E14" s="757"/>
      <c r="F14" s="791" t="str">
        <f t="shared" si="0"/>
        <v>----</v>
      </c>
      <c r="G14" s="757"/>
      <c r="H14" s="791" t="str">
        <f t="shared" si="1"/>
        <v>----</v>
      </c>
      <c r="I14" s="752"/>
      <c r="J14" s="792" t="str">
        <f t="shared" si="2"/>
        <v>----</v>
      </c>
    </row>
    <row r="15" spans="1:10">
      <c r="A15" s="223"/>
      <c r="B15" s="117"/>
      <c r="C15" s="790"/>
      <c r="D15" s="807"/>
      <c r="E15" s="757"/>
      <c r="F15" s="791" t="str">
        <f t="shared" si="0"/>
        <v>----</v>
      </c>
      <c r="G15" s="757"/>
      <c r="H15" s="791" t="str">
        <f t="shared" si="1"/>
        <v>----</v>
      </c>
      <c r="I15" s="752"/>
      <c r="J15" s="792" t="str">
        <f t="shared" si="2"/>
        <v>----</v>
      </c>
    </row>
    <row r="16" spans="1:10">
      <c r="A16" s="223"/>
      <c r="B16" s="117"/>
      <c r="C16" s="790"/>
      <c r="D16" s="807"/>
      <c r="E16" s="757"/>
      <c r="F16" s="791" t="str">
        <f t="shared" si="0"/>
        <v>----</v>
      </c>
      <c r="G16" s="757"/>
      <c r="H16" s="791" t="str">
        <f t="shared" si="1"/>
        <v>----</v>
      </c>
      <c r="I16" s="752"/>
      <c r="J16" s="792" t="str">
        <f t="shared" si="2"/>
        <v>----</v>
      </c>
    </row>
    <row r="17" spans="1:10">
      <c r="A17" s="223"/>
      <c r="B17" s="117"/>
      <c r="C17" s="790"/>
      <c r="D17" s="807"/>
      <c r="E17" s="757"/>
      <c r="F17" s="791" t="str">
        <f t="shared" si="0"/>
        <v>----</v>
      </c>
      <c r="G17" s="757"/>
      <c r="H17" s="791" t="str">
        <f t="shared" si="1"/>
        <v>----</v>
      </c>
      <c r="I17" s="752"/>
      <c r="J17" s="792" t="str">
        <f t="shared" si="2"/>
        <v>----</v>
      </c>
    </row>
    <row r="18" spans="1:10">
      <c r="A18" s="223"/>
      <c r="B18" s="117"/>
      <c r="C18" s="790"/>
      <c r="D18" s="807"/>
      <c r="E18" s="757"/>
      <c r="F18" s="791" t="str">
        <f t="shared" si="0"/>
        <v>----</v>
      </c>
      <c r="G18" s="757"/>
      <c r="H18" s="791" t="str">
        <f t="shared" si="1"/>
        <v>----</v>
      </c>
      <c r="I18" s="752"/>
      <c r="J18" s="792" t="str">
        <f t="shared" si="2"/>
        <v>----</v>
      </c>
    </row>
    <row r="19" spans="1:10">
      <c r="A19" s="223"/>
      <c r="B19" s="117"/>
      <c r="C19" s="790"/>
      <c r="D19" s="807"/>
      <c r="E19" s="757"/>
      <c r="F19" s="791" t="str">
        <f t="shared" si="0"/>
        <v>----</v>
      </c>
      <c r="G19" s="757"/>
      <c r="H19" s="791" t="str">
        <f t="shared" si="1"/>
        <v>----</v>
      </c>
      <c r="I19" s="752"/>
      <c r="J19" s="792" t="str">
        <f t="shared" si="2"/>
        <v>----</v>
      </c>
    </row>
    <row r="20" spans="1:10">
      <c r="A20" s="223"/>
      <c r="B20" s="117"/>
      <c r="C20" s="790"/>
      <c r="D20" s="807"/>
      <c r="E20" s="757"/>
      <c r="F20" s="791" t="str">
        <f t="shared" si="0"/>
        <v>----</v>
      </c>
      <c r="G20" s="757"/>
      <c r="H20" s="791" t="str">
        <f t="shared" si="1"/>
        <v>----</v>
      </c>
      <c r="I20" s="752"/>
      <c r="J20" s="792" t="str">
        <f t="shared" si="2"/>
        <v>----</v>
      </c>
    </row>
    <row r="21" spans="1:10">
      <c r="A21" s="223"/>
      <c r="B21" s="117"/>
      <c r="C21" s="790"/>
      <c r="D21" s="807"/>
      <c r="E21" s="757"/>
      <c r="F21" s="791" t="str">
        <f t="shared" si="0"/>
        <v>----</v>
      </c>
      <c r="G21" s="757"/>
      <c r="H21" s="791" t="str">
        <f t="shared" si="1"/>
        <v>----</v>
      </c>
      <c r="I21" s="752"/>
      <c r="J21" s="792" t="str">
        <f t="shared" si="2"/>
        <v>----</v>
      </c>
    </row>
    <row r="22" spans="1:10">
      <c r="A22" s="223"/>
      <c r="B22" s="117"/>
      <c r="C22" s="790"/>
      <c r="D22" s="807"/>
      <c r="E22" s="757"/>
      <c r="F22" s="791" t="str">
        <f t="shared" si="0"/>
        <v>----</v>
      </c>
      <c r="G22" s="757"/>
      <c r="H22" s="791" t="str">
        <f t="shared" si="1"/>
        <v>----</v>
      </c>
      <c r="I22" s="752"/>
      <c r="J22" s="792" t="str">
        <f t="shared" si="2"/>
        <v>----</v>
      </c>
    </row>
    <row r="23" spans="1:10" ht="15.75" thickBot="1">
      <c r="A23" s="74"/>
      <c r="B23" s="75"/>
      <c r="C23" s="800"/>
      <c r="D23" s="808"/>
      <c r="E23" s="814"/>
      <c r="F23" s="819" t="str">
        <f t="shared" si="0"/>
        <v>----</v>
      </c>
      <c r="G23" s="814"/>
      <c r="H23" s="819" t="str">
        <f t="shared" si="1"/>
        <v>----</v>
      </c>
      <c r="I23" s="811"/>
      <c r="J23" s="820" t="str">
        <f t="shared" si="2"/>
        <v>----</v>
      </c>
    </row>
    <row r="24" spans="1:10" ht="15.75" thickBot="1">
      <c r="A24" s="27"/>
      <c r="B24" s="27"/>
      <c r="C24" s="832"/>
      <c r="D24" s="832"/>
      <c r="E24" s="832"/>
      <c r="F24" s="833">
        <f>SUM(F4:F23)</f>
        <v>38820.989999999991</v>
      </c>
      <c r="G24" s="832"/>
      <c r="H24" s="833">
        <f>SUM(H4:H23)</f>
        <v>0</v>
      </c>
      <c r="I24" s="832"/>
      <c r="J24" s="833">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K13"/>
  <sheetViews>
    <sheetView workbookViewId="0">
      <selection activeCell="E5" sqref="E5"/>
    </sheetView>
  </sheetViews>
  <sheetFormatPr defaultRowHeight="15"/>
  <cols>
    <col min="2" max="2" width="23.5703125" bestFit="1" customWidth="1"/>
    <col min="3" max="3" width="12.5703125" bestFit="1" customWidth="1"/>
    <col min="4" max="4" width="13.85546875" customWidth="1"/>
    <col min="5" max="5" width="10.7109375" style="437" bestFit="1" customWidth="1"/>
    <col min="6" max="6" width="9.5703125" style="437" bestFit="1" customWidth="1"/>
    <col min="7" max="7" width="10.7109375" style="437" bestFit="1" customWidth="1"/>
    <col min="8" max="8" width="9.5703125" style="437" bestFit="1" customWidth="1"/>
    <col min="9" max="9" width="10.7109375" bestFit="1" customWidth="1"/>
    <col min="10" max="10" width="9.5703125" bestFit="1" customWidth="1"/>
  </cols>
  <sheetData>
    <row r="1" spans="1:11" ht="15.75" thickBot="1">
      <c r="A1" s="932" t="s">
        <v>289</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44124</v>
      </c>
      <c r="B4" s="71" t="s">
        <v>315</v>
      </c>
      <c r="C4" s="104">
        <v>706275.25</v>
      </c>
      <c r="D4" s="539">
        <v>296625.25</v>
      </c>
      <c r="E4" s="549"/>
      <c r="F4" s="650" t="str">
        <f t="shared" ref="F4:F12" si="0">IF(ISBLANK(E4),"----",E4-D4)</f>
        <v>----</v>
      </c>
      <c r="G4" s="549"/>
      <c r="H4" s="650" t="str">
        <f t="shared" ref="H4:H12" si="1">IF(OR(G4="Complete",ISBLANK(G4)),"----",G4-$D4)</f>
        <v>----</v>
      </c>
      <c r="I4" s="544"/>
      <c r="J4" s="651" t="str">
        <f t="shared" ref="J4:J12" si="2">IF(OR(I4="Complete",ISBLANK(I4)),"----",I4-$D4)</f>
        <v>----</v>
      </c>
    </row>
    <row r="5" spans="1:11">
      <c r="A5" s="88">
        <v>44153</v>
      </c>
      <c r="B5" s="101" t="s">
        <v>332</v>
      </c>
      <c r="C5" s="112">
        <v>409000.63</v>
      </c>
      <c r="D5" s="540">
        <v>135900.63</v>
      </c>
      <c r="E5" s="550">
        <v>133790.75</v>
      </c>
      <c r="F5" s="664">
        <f t="shared" si="0"/>
        <v>-2109.8800000000047</v>
      </c>
      <c r="G5" s="550" t="s">
        <v>704</v>
      </c>
      <c r="H5" s="664" t="str">
        <f t="shared" si="1"/>
        <v>----</v>
      </c>
      <c r="I5" s="545" t="s">
        <v>704</v>
      </c>
      <c r="J5" s="665" t="str">
        <f t="shared" si="2"/>
        <v>----</v>
      </c>
    </row>
    <row r="6" spans="1:11">
      <c r="A6" s="88">
        <v>44580</v>
      </c>
      <c r="B6" s="101" t="s">
        <v>492</v>
      </c>
      <c r="C6" s="112">
        <v>236396</v>
      </c>
      <c r="D6" s="540">
        <v>0</v>
      </c>
      <c r="E6" s="550"/>
      <c r="F6" s="664" t="str">
        <f t="shared" si="0"/>
        <v>----</v>
      </c>
      <c r="G6" s="550">
        <v>0</v>
      </c>
      <c r="H6" s="664">
        <f t="shared" si="1"/>
        <v>0</v>
      </c>
      <c r="I6" s="545">
        <v>0</v>
      </c>
      <c r="J6" s="665">
        <f t="shared" si="2"/>
        <v>0</v>
      </c>
      <c r="K6" t="s">
        <v>779</v>
      </c>
    </row>
    <row r="7" spans="1:11">
      <c r="A7" s="88">
        <v>44852</v>
      </c>
      <c r="B7" s="101" t="s">
        <v>573</v>
      </c>
      <c r="C7" s="112">
        <v>777108.59</v>
      </c>
      <c r="D7" s="540">
        <f>C7</f>
        <v>777108.59</v>
      </c>
      <c r="E7" s="550"/>
      <c r="F7" s="664" t="str">
        <f t="shared" si="0"/>
        <v>----</v>
      </c>
      <c r="G7" s="550"/>
      <c r="H7" s="664" t="str">
        <f t="shared" si="1"/>
        <v>----</v>
      </c>
      <c r="I7" s="545"/>
      <c r="J7" s="665" t="str">
        <f t="shared" si="2"/>
        <v>----</v>
      </c>
    </row>
    <row r="8" spans="1:11">
      <c r="A8" s="88">
        <v>45524</v>
      </c>
      <c r="B8" s="453" t="s">
        <v>768</v>
      </c>
      <c r="C8" s="112">
        <v>2065011</v>
      </c>
      <c r="D8" s="540">
        <f>C8-2000000</f>
        <v>65011</v>
      </c>
      <c r="E8" s="550"/>
      <c r="F8" s="664" t="str">
        <f t="shared" si="0"/>
        <v>----</v>
      </c>
      <c r="G8" s="550"/>
      <c r="H8" s="664" t="str">
        <f t="shared" si="1"/>
        <v>----</v>
      </c>
      <c r="I8" s="545"/>
      <c r="J8" s="665" t="str">
        <f t="shared" si="2"/>
        <v>----</v>
      </c>
      <c r="K8" t="s">
        <v>769</v>
      </c>
    </row>
    <row r="9" spans="1:11">
      <c r="A9" s="88"/>
      <c r="B9" s="101"/>
      <c r="C9" s="112"/>
      <c r="D9" s="540"/>
      <c r="E9" s="550"/>
      <c r="F9" s="664" t="str">
        <f t="shared" si="0"/>
        <v>----</v>
      </c>
      <c r="G9" s="550"/>
      <c r="H9" s="664" t="str">
        <f t="shared" si="1"/>
        <v>----</v>
      </c>
      <c r="I9" s="545"/>
      <c r="J9" s="665" t="str">
        <f t="shared" si="2"/>
        <v>----</v>
      </c>
    </row>
    <row r="10" spans="1:11">
      <c r="A10" s="88"/>
      <c r="B10" s="101"/>
      <c r="C10" s="112"/>
      <c r="D10" s="540"/>
      <c r="E10" s="550"/>
      <c r="F10" s="664" t="str">
        <f t="shared" si="0"/>
        <v>----</v>
      </c>
      <c r="G10" s="550"/>
      <c r="H10" s="664" t="str">
        <f t="shared" si="1"/>
        <v>----</v>
      </c>
      <c r="I10" s="545"/>
      <c r="J10" s="665" t="str">
        <f t="shared" si="2"/>
        <v>----</v>
      </c>
    </row>
    <row r="11" spans="1:11">
      <c r="A11" s="88"/>
      <c r="B11" s="101"/>
      <c r="C11" s="112"/>
      <c r="D11" s="540"/>
      <c r="E11" s="550"/>
      <c r="F11" s="664" t="str">
        <f t="shared" si="0"/>
        <v>----</v>
      </c>
      <c r="G11" s="550"/>
      <c r="H11" s="664" t="str">
        <f t="shared" si="1"/>
        <v>----</v>
      </c>
      <c r="I11" s="545"/>
      <c r="J11" s="665" t="str">
        <f t="shared" si="2"/>
        <v>----</v>
      </c>
    </row>
    <row r="12" spans="1:11" ht="15.75" thickBot="1">
      <c r="A12" s="74"/>
      <c r="B12" s="75"/>
      <c r="C12" s="106"/>
      <c r="D12" s="543"/>
      <c r="E12" s="553"/>
      <c r="F12" s="648" t="str">
        <f t="shared" si="0"/>
        <v>----</v>
      </c>
      <c r="G12" s="553"/>
      <c r="H12" s="648" t="str">
        <f t="shared" si="1"/>
        <v>----</v>
      </c>
      <c r="I12" s="548"/>
      <c r="J12" s="649" t="str">
        <f t="shared" si="2"/>
        <v>----</v>
      </c>
    </row>
    <row r="13" spans="1:11" ht="15.75" thickBot="1">
      <c r="A13" s="27"/>
      <c r="B13" s="27"/>
      <c r="C13" s="28"/>
      <c r="D13" s="28"/>
      <c r="E13" s="444"/>
      <c r="F13" s="446">
        <f>SUM(F4:F12)</f>
        <v>-2109.8800000000047</v>
      </c>
      <c r="G13" s="444"/>
      <c r="H13" s="446">
        <f>SUM(H4:H12)</f>
        <v>0</v>
      </c>
      <c r="I13" s="28"/>
      <c r="J13" s="69">
        <f>SUM(J4:J12)</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7" bestFit="1" customWidth="1"/>
    <col min="6" max="6" width="12.7109375" style="437" customWidth="1"/>
    <col min="7" max="7" width="12" style="437" bestFit="1" customWidth="1"/>
    <col min="8" max="8" width="12.7109375" style="437" customWidth="1"/>
    <col min="9" max="9" width="12" bestFit="1" customWidth="1"/>
    <col min="10" max="10" width="12.7109375" customWidth="1"/>
  </cols>
  <sheetData>
    <row r="1" spans="1:11" ht="15.75" thickBot="1">
      <c r="A1" s="932" t="s">
        <v>154</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43816</v>
      </c>
      <c r="B4" s="71" t="s">
        <v>167</v>
      </c>
      <c r="C4" s="72">
        <v>1366861.89</v>
      </c>
      <c r="D4" s="434">
        <f>C4</f>
        <v>1366861.89</v>
      </c>
      <c r="E4" s="474">
        <v>1388056.33</v>
      </c>
      <c r="F4" s="475">
        <f t="shared" ref="F4:F14" si="0">IF(ISBLANK(E4),"----",E4-D4)</f>
        <v>21194.440000000177</v>
      </c>
      <c r="G4" s="474" t="s">
        <v>704</v>
      </c>
      <c r="H4" s="475" t="str">
        <f t="shared" ref="H4:H14" si="1">IF(OR(G4="Complete",ISBLANK(G4)),"----",G4-$D4)</f>
        <v>----</v>
      </c>
      <c r="I4" s="484" t="s">
        <v>704</v>
      </c>
      <c r="J4" s="73" t="str">
        <f t="shared" ref="J4:J14" si="2">IF(OR(I4="Complete",ISBLANK(I4)),"----",I4-$D4)</f>
        <v>----</v>
      </c>
    </row>
    <row r="5" spans="1:11">
      <c r="A5" s="88">
        <v>44153</v>
      </c>
      <c r="B5" s="101" t="s">
        <v>333</v>
      </c>
      <c r="C5" s="82">
        <v>599264.30000000005</v>
      </c>
      <c r="D5" s="436">
        <v>326164.3</v>
      </c>
      <c r="E5" s="476"/>
      <c r="F5" s="477" t="str">
        <f t="shared" si="0"/>
        <v>----</v>
      </c>
      <c r="G5" s="476">
        <f>588064.59-273100</f>
        <v>314964.58999999997</v>
      </c>
      <c r="H5" s="477">
        <f t="shared" si="1"/>
        <v>-11199.710000000021</v>
      </c>
      <c r="I5" s="489" t="s">
        <v>704</v>
      </c>
      <c r="J5" s="83" t="str">
        <f t="shared" si="2"/>
        <v>----</v>
      </c>
      <c r="K5" s="437" t="s">
        <v>749</v>
      </c>
    </row>
    <row r="6" spans="1:11">
      <c r="A6" s="88">
        <v>45279</v>
      </c>
      <c r="B6" s="101" t="s">
        <v>694</v>
      </c>
      <c r="C6" s="82">
        <v>970101.6</v>
      </c>
      <c r="D6" s="436">
        <f>C6</f>
        <v>970101.6</v>
      </c>
      <c r="E6" s="476"/>
      <c r="F6" s="477" t="str">
        <f t="shared" si="0"/>
        <v>----</v>
      </c>
      <c r="G6" s="476"/>
      <c r="H6" s="477" t="str">
        <f t="shared" si="1"/>
        <v>----</v>
      </c>
      <c r="I6" s="489"/>
      <c r="J6" s="83" t="str">
        <f t="shared" si="2"/>
        <v>----</v>
      </c>
    </row>
    <row r="7" spans="1:11">
      <c r="A7" s="88"/>
      <c r="B7" s="101"/>
      <c r="C7" s="82"/>
      <c r="D7" s="436"/>
      <c r="E7" s="476"/>
      <c r="F7" s="477" t="str">
        <f t="shared" si="0"/>
        <v>----</v>
      </c>
      <c r="G7" s="476"/>
      <c r="H7" s="477" t="str">
        <f t="shared" si="1"/>
        <v>----</v>
      </c>
      <c r="I7" s="489"/>
      <c r="J7" s="83" t="str">
        <f t="shared" si="2"/>
        <v>----</v>
      </c>
    </row>
    <row r="8" spans="1:11">
      <c r="A8" s="88"/>
      <c r="B8" s="101"/>
      <c r="C8" s="82"/>
      <c r="D8" s="436"/>
      <c r="E8" s="476"/>
      <c r="F8" s="477" t="str">
        <f t="shared" si="0"/>
        <v>----</v>
      </c>
      <c r="G8" s="476"/>
      <c r="H8" s="477" t="str">
        <f t="shared" si="1"/>
        <v>----</v>
      </c>
      <c r="I8" s="489"/>
      <c r="J8" s="83" t="str">
        <f t="shared" si="2"/>
        <v>----</v>
      </c>
    </row>
    <row r="9" spans="1:11">
      <c r="A9" s="88"/>
      <c r="B9" s="101"/>
      <c r="C9" s="82"/>
      <c r="D9" s="436"/>
      <c r="E9" s="476"/>
      <c r="F9" s="477" t="str">
        <f t="shared" si="0"/>
        <v>----</v>
      </c>
      <c r="G9" s="476"/>
      <c r="H9" s="477" t="str">
        <f t="shared" si="1"/>
        <v>----</v>
      </c>
      <c r="I9" s="489"/>
      <c r="J9" s="83" t="str">
        <f t="shared" si="2"/>
        <v>----</v>
      </c>
    </row>
    <row r="10" spans="1:11">
      <c r="A10" s="88"/>
      <c r="B10" s="101"/>
      <c r="C10" s="82"/>
      <c r="D10" s="436"/>
      <c r="E10" s="476"/>
      <c r="F10" s="477" t="str">
        <f t="shared" si="0"/>
        <v>----</v>
      </c>
      <c r="G10" s="476"/>
      <c r="H10" s="477" t="str">
        <f t="shared" si="1"/>
        <v>----</v>
      </c>
      <c r="I10" s="489"/>
      <c r="J10" s="83" t="str">
        <f t="shared" si="2"/>
        <v>----</v>
      </c>
    </row>
    <row r="11" spans="1:11">
      <c r="A11" s="88"/>
      <c r="B11" s="101"/>
      <c r="C11" s="82"/>
      <c r="D11" s="436"/>
      <c r="E11" s="476"/>
      <c r="F11" s="477" t="str">
        <f t="shared" si="0"/>
        <v>----</v>
      </c>
      <c r="G11" s="476"/>
      <c r="H11" s="477" t="str">
        <f t="shared" si="1"/>
        <v>----</v>
      </c>
      <c r="I11" s="489"/>
      <c r="J11" s="83" t="str">
        <f t="shared" si="2"/>
        <v>----</v>
      </c>
    </row>
    <row r="12" spans="1:11">
      <c r="A12" s="88"/>
      <c r="B12" s="101"/>
      <c r="C12" s="82"/>
      <c r="D12" s="436"/>
      <c r="E12" s="476"/>
      <c r="F12" s="477" t="str">
        <f t="shared" si="0"/>
        <v>----</v>
      </c>
      <c r="G12" s="476"/>
      <c r="H12" s="477" t="str">
        <f t="shared" si="1"/>
        <v>----</v>
      </c>
      <c r="I12" s="489"/>
      <c r="J12" s="83" t="str">
        <f t="shared" si="2"/>
        <v>----</v>
      </c>
    </row>
    <row r="13" spans="1:11">
      <c r="A13" s="88"/>
      <c r="B13" s="101"/>
      <c r="C13" s="82"/>
      <c r="D13" s="436"/>
      <c r="E13" s="476"/>
      <c r="F13" s="477" t="str">
        <f t="shared" si="0"/>
        <v>----</v>
      </c>
      <c r="G13" s="476"/>
      <c r="H13" s="477" t="str">
        <f t="shared" si="1"/>
        <v>----</v>
      </c>
      <c r="I13" s="489"/>
      <c r="J13" s="83" t="str">
        <f t="shared" si="2"/>
        <v>----</v>
      </c>
    </row>
    <row r="14" spans="1:11" ht="15.75" thickBot="1">
      <c r="A14" s="74"/>
      <c r="B14" s="75"/>
      <c r="C14" s="76"/>
      <c r="D14" s="435"/>
      <c r="E14" s="480"/>
      <c r="F14" s="481" t="str">
        <f t="shared" si="0"/>
        <v>----</v>
      </c>
      <c r="G14" s="480"/>
      <c r="H14" s="481" t="str">
        <f t="shared" si="1"/>
        <v>----</v>
      </c>
      <c r="I14" s="486"/>
      <c r="J14" s="77" t="str">
        <f t="shared" si="2"/>
        <v>----</v>
      </c>
    </row>
    <row r="15" spans="1:11" ht="15.75" thickBot="1">
      <c r="A15" s="27"/>
      <c r="B15" s="27"/>
      <c r="C15" s="28"/>
      <c r="D15" s="28"/>
      <c r="E15" s="444"/>
      <c r="F15" s="446">
        <f>SUM(F4:F14)</f>
        <v>21194.440000000177</v>
      </c>
      <c r="G15" s="444"/>
      <c r="H15" s="446">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8"/>
  <sheetViews>
    <sheetView workbookViewId="0">
      <selection activeCell="N10" sqref="N10"/>
    </sheetView>
  </sheetViews>
  <sheetFormatPr defaultRowHeight="15"/>
  <cols>
    <col min="5" max="8" width="9.140625" style="437"/>
  </cols>
  <sheetData>
    <row r="1" spans="1:10" ht="15.75" thickBot="1">
      <c r="A1" s="932" t="s">
        <v>267</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69" thickBot="1">
      <c r="A3" s="940"/>
      <c r="B3" s="942"/>
      <c r="C3" s="942"/>
      <c r="D3" s="954"/>
      <c r="E3" s="465" t="s">
        <v>121</v>
      </c>
      <c r="F3" s="473" t="s">
        <v>113</v>
      </c>
      <c r="G3" s="465" t="s">
        <v>121</v>
      </c>
      <c r="H3" s="473" t="s">
        <v>113</v>
      </c>
      <c r="I3" s="483" t="s">
        <v>121</v>
      </c>
      <c r="J3" s="25" t="s">
        <v>113</v>
      </c>
    </row>
    <row r="4" spans="1:10">
      <c r="A4" s="70"/>
      <c r="B4" s="71"/>
      <c r="C4" s="72"/>
      <c r="D4" s="434"/>
      <c r="E4" s="474"/>
      <c r="F4" s="475" t="str">
        <f>IF(ISBLANK(E4),"----",E4-D4)</f>
        <v>----</v>
      </c>
      <c r="G4" s="474"/>
      <c r="H4" s="475" t="str">
        <f>IF(OR(G4="Complete",ISBLANK(G4)),"----",G4-$D4)</f>
        <v>----</v>
      </c>
      <c r="I4" s="484"/>
      <c r="J4" s="73" t="str">
        <f>IF(OR(I4="Complete",ISBLANK(I4)),"----",I4-$D4)</f>
        <v>----</v>
      </c>
    </row>
    <row r="5" spans="1:10">
      <c r="A5" s="88"/>
      <c r="B5" s="101"/>
      <c r="C5" s="82"/>
      <c r="D5" s="436"/>
      <c r="E5" s="476"/>
      <c r="F5" s="477" t="str">
        <f>IF(ISBLANK(E5),"----",E5-D5)</f>
        <v>----</v>
      </c>
      <c r="G5" s="476"/>
      <c r="H5" s="477" t="str">
        <f>IF(OR(G5="Complete",ISBLANK(G5)),"----",G5-$D5)</f>
        <v>----</v>
      </c>
      <c r="I5" s="489"/>
      <c r="J5" s="83" t="str">
        <f>IF(OR(I5="Complete",ISBLANK(I5)),"----",I5-$D5)</f>
        <v>----</v>
      </c>
    </row>
    <row r="6" spans="1:10">
      <c r="A6" s="91"/>
      <c r="B6" s="92"/>
      <c r="C6" s="84"/>
      <c r="D6" s="482"/>
      <c r="E6" s="487"/>
      <c r="F6" s="488" t="str">
        <f>IF(ISBLANK(E6),"----",E6-D6)</f>
        <v>----</v>
      </c>
      <c r="G6" s="487"/>
      <c r="H6" s="488" t="str">
        <f>IF(OR(G6="Complete",ISBLANK(G6)),"----",G6-$D6)</f>
        <v>----</v>
      </c>
      <c r="I6" s="485"/>
      <c r="J6" s="85" t="str">
        <f>IF(OR(I6="Complete",ISBLANK(I6)),"----",I6-$D6)</f>
        <v>----</v>
      </c>
    </row>
    <row r="7" spans="1:10" ht="15.75" thickBot="1">
      <c r="A7" s="74"/>
      <c r="B7" s="75"/>
      <c r="C7" s="76"/>
      <c r="D7" s="435"/>
      <c r="E7" s="480"/>
      <c r="F7" s="481" t="str">
        <f>IF(ISBLANK(E7),"----",E7-D7)</f>
        <v>----</v>
      </c>
      <c r="G7" s="480"/>
      <c r="H7" s="481" t="str">
        <f>IF(OR(G7="Complete",ISBLANK(G7)),"----",G7-$D7)</f>
        <v>----</v>
      </c>
      <c r="I7" s="486"/>
      <c r="J7" s="77" t="str">
        <f>IF(OR(I7="Complete",ISBLANK(I7)),"----",I7-$D7)</f>
        <v>----</v>
      </c>
    </row>
    <row r="8" spans="1:10" ht="15.75" thickBot="1">
      <c r="A8" s="27"/>
      <c r="B8" s="27"/>
      <c r="C8" s="28"/>
      <c r="D8" s="28"/>
      <c r="E8" s="444"/>
      <c r="F8" s="446">
        <f>SUM(F4:F7)</f>
        <v>0</v>
      </c>
      <c r="G8" s="444"/>
      <c r="H8" s="446">
        <f>SUM(H4:H7)</f>
        <v>0</v>
      </c>
      <c r="I8" s="28"/>
      <c r="J8" s="69">
        <f>SUM(J4:J7)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7" bestFit="1" customWidth="1"/>
    <col min="6" max="6" width="11.5703125" style="437" customWidth="1"/>
    <col min="7" max="7" width="9.5703125" style="437" bestFit="1" customWidth="1"/>
    <col min="8" max="8" width="11.5703125" style="437" customWidth="1"/>
    <col min="9" max="9" width="9.5703125" bestFit="1" customWidth="1"/>
    <col min="10" max="10" width="11.5703125" customWidth="1"/>
  </cols>
  <sheetData>
    <row r="1" spans="1:10" ht="15.75" thickBot="1">
      <c r="A1" s="932" t="s">
        <v>268</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44061</v>
      </c>
      <c r="B4" s="71" t="s">
        <v>300</v>
      </c>
      <c r="C4" s="104">
        <v>1230943.05</v>
      </c>
      <c r="D4" s="539">
        <v>788521.05</v>
      </c>
      <c r="E4" s="549">
        <v>777172.75</v>
      </c>
      <c r="F4" s="475">
        <f>IF(ISBLANK(E4),"----",E4-$D4)</f>
        <v>-11348.300000000047</v>
      </c>
      <c r="G4" s="549" t="s">
        <v>704</v>
      </c>
      <c r="H4" s="475" t="str">
        <f>IF(OR(G4="Complete",ISBLANK(G4)),"----",G4-$D4)</f>
        <v>----</v>
      </c>
      <c r="I4" s="544" t="s">
        <v>704</v>
      </c>
      <c r="J4" s="73" t="str">
        <f>IF(OR(I4="Complete",ISBLANK(I4)),"----",I4-$D4)</f>
        <v>----</v>
      </c>
    </row>
    <row r="5" spans="1:10">
      <c r="A5" s="88"/>
      <c r="B5" s="101"/>
      <c r="C5" s="112"/>
      <c r="D5" s="540"/>
      <c r="E5" s="550"/>
      <c r="F5" s="477" t="str">
        <f t="shared" ref="F5:F7" si="0">IF(ISBLANK(E5),"----",E5-$D5)</f>
        <v>----</v>
      </c>
      <c r="G5" s="550"/>
      <c r="H5" s="477" t="str">
        <f>IF(OR(G5="Complete",ISBLANK(G5)),"----",G5-$D5)</f>
        <v>----</v>
      </c>
      <c r="I5" s="545"/>
      <c r="J5" s="83" t="str">
        <f>IF(OR(I5="Complete",ISBLANK(I5)),"----",I5-$D5)</f>
        <v>----</v>
      </c>
    </row>
    <row r="6" spans="1:10">
      <c r="A6" s="91"/>
      <c r="B6" s="92"/>
      <c r="C6" s="105"/>
      <c r="D6" s="559"/>
      <c r="E6" s="561"/>
      <c r="F6" s="488" t="str">
        <f t="shared" si="0"/>
        <v>----</v>
      </c>
      <c r="G6" s="561"/>
      <c r="H6" s="488" t="str">
        <f>IF(OR(G6="Complete",ISBLANK(G6)),"----",G6-$D6)</f>
        <v>----</v>
      </c>
      <c r="I6" s="560"/>
      <c r="J6" s="85" t="str">
        <f>IF(OR(I6="Complete",ISBLANK(I6)),"----",I6-$D6)</f>
        <v>----</v>
      </c>
    </row>
    <row r="7" spans="1:10" ht="15.75" thickBot="1">
      <c r="A7" s="74"/>
      <c r="B7" s="75"/>
      <c r="C7" s="106"/>
      <c r="D7" s="543"/>
      <c r="E7" s="553"/>
      <c r="F7" s="481" t="str">
        <f t="shared" si="0"/>
        <v>----</v>
      </c>
      <c r="G7" s="553"/>
      <c r="H7" s="481" t="str">
        <f>IF(OR(G7="Complete",ISBLANK(G7)),"----",G7-$D7)</f>
        <v>----</v>
      </c>
      <c r="I7" s="548"/>
      <c r="J7" s="77" t="str">
        <f>IF(OR(I7="Complete",ISBLANK(I7)),"----",I7-$D7)</f>
        <v>----</v>
      </c>
    </row>
    <row r="8" spans="1:10" ht="15.75" thickBot="1">
      <c r="A8" s="27"/>
      <c r="B8" s="27"/>
      <c r="C8" s="28"/>
      <c r="D8" s="28"/>
      <c r="E8" s="444"/>
      <c r="F8" s="446">
        <f>SUM(F4:F7)</f>
        <v>-11348.300000000047</v>
      </c>
      <c r="G8" s="444"/>
      <c r="H8" s="446">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M16" sqref="M16"/>
    </sheetView>
  </sheetViews>
  <sheetFormatPr defaultRowHeight="15"/>
  <cols>
    <col min="2" max="2" width="23" bestFit="1" customWidth="1"/>
    <col min="3" max="4" width="12" bestFit="1" customWidth="1"/>
    <col min="5" max="5" width="12" style="437" bestFit="1" customWidth="1"/>
    <col min="6" max="6" width="13.85546875" style="437" customWidth="1"/>
    <col min="7" max="7" width="12" style="437" bestFit="1" customWidth="1"/>
    <col min="8" max="8" width="13.85546875" style="437" customWidth="1"/>
    <col min="9" max="9" width="12" bestFit="1" customWidth="1"/>
    <col min="10" max="10" width="13.85546875" customWidth="1"/>
  </cols>
  <sheetData>
    <row r="1" spans="1:11" ht="15.75" thickBot="1">
      <c r="A1" s="932" t="s">
        <v>185</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43852</v>
      </c>
      <c r="B4" s="71" t="s">
        <v>196</v>
      </c>
      <c r="C4" s="798">
        <v>1221334.17</v>
      </c>
      <c r="D4" s="805">
        <f>C4</f>
        <v>1221334.17</v>
      </c>
      <c r="E4" s="812">
        <v>1195463.57</v>
      </c>
      <c r="F4" s="821">
        <f t="shared" ref="F4:F21" si="0">IF(ISBLANK(E4),"----",E4-D4)</f>
        <v>-25870.59999999986</v>
      </c>
      <c r="G4" s="812" t="s">
        <v>704</v>
      </c>
      <c r="H4" s="821" t="str">
        <f t="shared" ref="H4:H21" si="1">IF(OR(G4="Complete",ISBLANK(G4)),"----",G4-$D4)</f>
        <v>----</v>
      </c>
      <c r="I4" s="809" t="s">
        <v>704</v>
      </c>
      <c r="J4" s="822" t="str">
        <f t="shared" ref="J4:J21" si="2">IF(OR(I4="Complete",ISBLANK(I4)),"----",I4-$D4)</f>
        <v>----</v>
      </c>
    </row>
    <row r="5" spans="1:11">
      <c r="A5" s="88">
        <v>43879</v>
      </c>
      <c r="B5" s="101" t="s">
        <v>219</v>
      </c>
      <c r="C5" s="801">
        <v>659062.44999999995</v>
      </c>
      <c r="D5" s="806">
        <v>440582.45</v>
      </c>
      <c r="E5" s="813">
        <v>405284.05</v>
      </c>
      <c r="F5" s="825">
        <f t="shared" si="0"/>
        <v>-35298.400000000023</v>
      </c>
      <c r="G5" s="813" t="s">
        <v>704</v>
      </c>
      <c r="H5" s="825" t="str">
        <f t="shared" si="1"/>
        <v>----</v>
      </c>
      <c r="I5" s="810" t="s">
        <v>704</v>
      </c>
      <c r="J5" s="826" t="str">
        <f t="shared" si="2"/>
        <v>----</v>
      </c>
      <c r="K5" t="s">
        <v>220</v>
      </c>
    </row>
    <row r="6" spans="1:11">
      <c r="A6" s="950">
        <v>44243</v>
      </c>
      <c r="B6" s="103" t="s">
        <v>399</v>
      </c>
      <c r="C6" s="787">
        <v>875107</v>
      </c>
      <c r="D6" s="746">
        <v>656627</v>
      </c>
      <c r="E6" s="756"/>
      <c r="F6" s="825" t="str">
        <f t="shared" si="0"/>
        <v>----</v>
      </c>
      <c r="G6" s="756"/>
      <c r="H6" s="825" t="str">
        <f t="shared" si="1"/>
        <v>----</v>
      </c>
      <c r="I6" s="751">
        <f>884224.32-218480</f>
        <v>665744.31999999995</v>
      </c>
      <c r="J6" s="826">
        <f t="shared" si="2"/>
        <v>9117.3199999999488</v>
      </c>
      <c r="K6" t="s">
        <v>813</v>
      </c>
    </row>
    <row r="7" spans="1:11">
      <c r="A7" s="952"/>
      <c r="B7" s="103" t="s">
        <v>400</v>
      </c>
      <c r="C7" s="787">
        <v>771101.6</v>
      </c>
      <c r="D7" s="746">
        <v>552621.6</v>
      </c>
      <c r="E7" s="756"/>
      <c r="F7" s="825" t="str">
        <f t="shared" si="0"/>
        <v>----</v>
      </c>
      <c r="G7" s="756"/>
      <c r="H7" s="825" t="str">
        <f t="shared" si="1"/>
        <v>----</v>
      </c>
      <c r="I7" s="751">
        <f>777931.05-218480</f>
        <v>559451.05000000005</v>
      </c>
      <c r="J7" s="826">
        <f t="shared" si="2"/>
        <v>6829.4500000000698</v>
      </c>
      <c r="K7" s="797" t="s">
        <v>814</v>
      </c>
    </row>
    <row r="8" spans="1:11">
      <c r="A8" s="102">
        <v>44551</v>
      </c>
      <c r="B8" s="258" t="s">
        <v>484</v>
      </c>
      <c r="C8" s="787">
        <v>1494122.4</v>
      </c>
      <c r="D8" s="746">
        <f>C8</f>
        <v>1494122.4</v>
      </c>
      <c r="E8" s="756">
        <v>1449485.68</v>
      </c>
      <c r="F8" s="825">
        <f t="shared" si="0"/>
        <v>-44636.719999999972</v>
      </c>
      <c r="G8" s="756" t="s">
        <v>704</v>
      </c>
      <c r="H8" s="825" t="str">
        <f t="shared" si="1"/>
        <v>----</v>
      </c>
      <c r="I8" s="751" t="s">
        <v>704</v>
      </c>
      <c r="J8" s="826" t="str">
        <f t="shared" si="2"/>
        <v>----</v>
      </c>
    </row>
    <row r="9" spans="1:11">
      <c r="A9" s="102">
        <v>44915</v>
      </c>
      <c r="B9" s="103" t="s">
        <v>616</v>
      </c>
      <c r="C9" s="787">
        <v>653836.69999999995</v>
      </c>
      <c r="D9" s="746">
        <f>130767.34+523069.36</f>
        <v>653836.69999999995</v>
      </c>
      <c r="E9" s="756"/>
      <c r="F9" s="825" t="str">
        <f t="shared" si="0"/>
        <v>----</v>
      </c>
      <c r="G9" s="756"/>
      <c r="H9" s="825" t="str">
        <f t="shared" si="1"/>
        <v>----</v>
      </c>
      <c r="I9" s="751">
        <v>685624.78</v>
      </c>
      <c r="J9" s="826">
        <f t="shared" si="2"/>
        <v>31788.080000000075</v>
      </c>
    </row>
    <row r="10" spans="1:11">
      <c r="A10" s="407">
        <v>45251</v>
      </c>
      <c r="B10" s="408" t="s">
        <v>679</v>
      </c>
      <c r="C10" s="787">
        <v>739176</v>
      </c>
      <c r="D10" s="746">
        <f>C10</f>
        <v>739176</v>
      </c>
      <c r="E10" s="756"/>
      <c r="F10" s="825" t="str">
        <f t="shared" si="0"/>
        <v>----</v>
      </c>
      <c r="G10" s="756"/>
      <c r="H10" s="825" t="str">
        <f t="shared" si="1"/>
        <v>----</v>
      </c>
      <c r="I10" s="751"/>
      <c r="J10" s="826" t="str">
        <f t="shared" si="2"/>
        <v>----</v>
      </c>
    </row>
    <row r="11" spans="1:11">
      <c r="A11" s="407">
        <v>45251</v>
      </c>
      <c r="B11" s="408" t="s">
        <v>680</v>
      </c>
      <c r="C11" s="787">
        <v>631625</v>
      </c>
      <c r="D11" s="746">
        <f>C11</f>
        <v>631625</v>
      </c>
      <c r="E11" s="756"/>
      <c r="F11" s="825" t="str">
        <f t="shared" si="0"/>
        <v>----</v>
      </c>
      <c r="G11" s="756"/>
      <c r="H11" s="825" t="str">
        <f t="shared" si="1"/>
        <v>----</v>
      </c>
      <c r="I11" s="751">
        <v>629064.5</v>
      </c>
      <c r="J11" s="826">
        <f t="shared" si="2"/>
        <v>-2560.5</v>
      </c>
    </row>
    <row r="12" spans="1:11">
      <c r="A12" s="102"/>
      <c r="B12" s="103"/>
      <c r="C12" s="787"/>
      <c r="D12" s="746"/>
      <c r="E12" s="756"/>
      <c r="F12" s="825" t="str">
        <f t="shared" si="0"/>
        <v>----</v>
      </c>
      <c r="G12" s="756"/>
      <c r="H12" s="825" t="str">
        <f t="shared" si="1"/>
        <v>----</v>
      </c>
      <c r="I12" s="751"/>
      <c r="J12" s="826" t="str">
        <f t="shared" si="2"/>
        <v>----</v>
      </c>
    </row>
    <row r="13" spans="1:11">
      <c r="A13" s="102"/>
      <c r="B13" s="103"/>
      <c r="C13" s="787"/>
      <c r="D13" s="746"/>
      <c r="E13" s="756"/>
      <c r="F13" s="825" t="str">
        <f t="shared" si="0"/>
        <v>----</v>
      </c>
      <c r="G13" s="756"/>
      <c r="H13" s="825" t="str">
        <f t="shared" si="1"/>
        <v>----</v>
      </c>
      <c r="I13" s="751"/>
      <c r="J13" s="826" t="str">
        <f t="shared" si="2"/>
        <v>----</v>
      </c>
    </row>
    <row r="14" spans="1:11">
      <c r="A14" s="102"/>
      <c r="B14" s="103"/>
      <c r="C14" s="787"/>
      <c r="D14" s="746"/>
      <c r="E14" s="756"/>
      <c r="F14" s="825" t="str">
        <f t="shared" si="0"/>
        <v>----</v>
      </c>
      <c r="G14" s="756"/>
      <c r="H14" s="825" t="str">
        <f t="shared" si="1"/>
        <v>----</v>
      </c>
      <c r="I14" s="751"/>
      <c r="J14" s="826" t="str">
        <f t="shared" si="2"/>
        <v>----</v>
      </c>
    </row>
    <row r="15" spans="1:11">
      <c r="A15" s="102"/>
      <c r="B15" s="103"/>
      <c r="C15" s="787"/>
      <c r="D15" s="746"/>
      <c r="E15" s="756"/>
      <c r="F15" s="825" t="str">
        <f t="shared" si="0"/>
        <v>----</v>
      </c>
      <c r="G15" s="756"/>
      <c r="H15" s="825" t="str">
        <f t="shared" si="1"/>
        <v>----</v>
      </c>
      <c r="I15" s="751"/>
      <c r="J15" s="826" t="str">
        <f t="shared" si="2"/>
        <v>----</v>
      </c>
    </row>
    <row r="16" spans="1:11">
      <c r="A16" s="102"/>
      <c r="B16" s="103"/>
      <c r="C16" s="787"/>
      <c r="D16" s="746"/>
      <c r="E16" s="756"/>
      <c r="F16" s="825" t="str">
        <f t="shared" si="0"/>
        <v>----</v>
      </c>
      <c r="G16" s="756"/>
      <c r="H16" s="825" t="str">
        <f t="shared" si="1"/>
        <v>----</v>
      </c>
      <c r="I16" s="751"/>
      <c r="J16" s="826" t="str">
        <f t="shared" si="2"/>
        <v>----</v>
      </c>
    </row>
    <row r="17" spans="1:10">
      <c r="A17" s="102"/>
      <c r="B17" s="103"/>
      <c r="C17" s="787"/>
      <c r="D17" s="746"/>
      <c r="E17" s="756"/>
      <c r="F17" s="825" t="str">
        <f t="shared" si="0"/>
        <v>----</v>
      </c>
      <c r="G17" s="756"/>
      <c r="H17" s="825" t="str">
        <f t="shared" si="1"/>
        <v>----</v>
      </c>
      <c r="I17" s="751"/>
      <c r="J17" s="826" t="str">
        <f t="shared" si="2"/>
        <v>----</v>
      </c>
    </row>
    <row r="18" spans="1:10">
      <c r="A18" s="102"/>
      <c r="B18" s="103"/>
      <c r="C18" s="787"/>
      <c r="D18" s="746"/>
      <c r="E18" s="756"/>
      <c r="F18" s="825" t="str">
        <f t="shared" si="0"/>
        <v>----</v>
      </c>
      <c r="G18" s="756"/>
      <c r="H18" s="825" t="str">
        <f t="shared" si="1"/>
        <v>----</v>
      </c>
      <c r="I18" s="751"/>
      <c r="J18" s="826" t="str">
        <f t="shared" si="2"/>
        <v>----</v>
      </c>
    </row>
    <row r="19" spans="1:10">
      <c r="A19" s="102"/>
      <c r="B19" s="103"/>
      <c r="C19" s="787"/>
      <c r="D19" s="746"/>
      <c r="E19" s="756"/>
      <c r="F19" s="825" t="str">
        <f t="shared" si="0"/>
        <v>----</v>
      </c>
      <c r="G19" s="756"/>
      <c r="H19" s="825" t="str">
        <f t="shared" si="1"/>
        <v>----</v>
      </c>
      <c r="I19" s="751"/>
      <c r="J19" s="826" t="str">
        <f t="shared" si="2"/>
        <v>----</v>
      </c>
    </row>
    <row r="20" spans="1:10">
      <c r="A20" s="116"/>
      <c r="B20" s="117"/>
      <c r="C20" s="790"/>
      <c r="D20" s="807"/>
      <c r="E20" s="757"/>
      <c r="F20" s="825" t="str">
        <f t="shared" si="0"/>
        <v>----</v>
      </c>
      <c r="G20" s="757"/>
      <c r="H20" s="825" t="str">
        <f t="shared" si="1"/>
        <v>----</v>
      </c>
      <c r="I20" s="752"/>
      <c r="J20" s="826" t="str">
        <f t="shared" si="2"/>
        <v>----</v>
      </c>
    </row>
    <row r="21" spans="1:10" ht="15.75" thickBot="1">
      <c r="A21" s="74"/>
      <c r="B21" s="75"/>
      <c r="C21" s="800"/>
      <c r="D21" s="808"/>
      <c r="E21" s="814"/>
      <c r="F21" s="819" t="str">
        <f t="shared" si="0"/>
        <v>----</v>
      </c>
      <c r="G21" s="814"/>
      <c r="H21" s="819" t="str">
        <f t="shared" si="1"/>
        <v>----</v>
      </c>
      <c r="I21" s="811"/>
      <c r="J21" s="820" t="str">
        <f t="shared" si="2"/>
        <v>----</v>
      </c>
    </row>
    <row r="22" spans="1:10" ht="15.75" thickBot="1">
      <c r="A22" s="27"/>
      <c r="B22" s="27"/>
      <c r="C22" s="832"/>
      <c r="D22" s="832"/>
      <c r="E22" s="832"/>
      <c r="F22" s="833">
        <f>SUM(F4:F21)</f>
        <v>-105805.71999999986</v>
      </c>
      <c r="G22" s="832"/>
      <c r="H22" s="833">
        <f>SUM(H4:H21)</f>
        <v>0</v>
      </c>
      <c r="I22" s="832"/>
      <c r="J22" s="833">
        <f>SUM(J4:J21)</f>
        <v>45174.350000000093</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K21"/>
  <sheetViews>
    <sheetView workbookViewId="0">
      <selection activeCell="P18" sqref="P18"/>
    </sheetView>
  </sheetViews>
  <sheetFormatPr defaultRowHeight="15"/>
  <cols>
    <col min="2" max="2" width="23.5703125" bestFit="1" customWidth="1"/>
    <col min="3" max="3" width="10.7109375" bestFit="1" customWidth="1"/>
    <col min="4" max="4" width="12.140625" customWidth="1"/>
    <col min="5" max="5" width="10.7109375" style="437" bestFit="1" customWidth="1"/>
    <col min="6" max="6" width="12.140625" style="437" customWidth="1"/>
    <col min="7" max="7" width="10.7109375" style="437" bestFit="1" customWidth="1"/>
    <col min="8" max="8" width="12.140625" style="437" customWidth="1"/>
    <col min="9" max="9" width="10.7109375" bestFit="1" customWidth="1"/>
    <col min="10" max="10" width="12.140625" customWidth="1"/>
  </cols>
  <sheetData>
    <row r="1" spans="1:11" ht="15.75" thickBot="1">
      <c r="A1" s="932" t="s">
        <v>129</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93">
        <f>Henry!A4</f>
        <v>43970</v>
      </c>
      <c r="B4" s="94" t="str">
        <f>Henry!B4</f>
        <v>BROS-SWAP-C044(87)--SE-44</v>
      </c>
      <c r="C4" s="95">
        <f>Henry!C4</f>
        <v>320390.63</v>
      </c>
      <c r="D4" s="564">
        <f>Henry!D4</f>
        <v>320390.63</v>
      </c>
      <c r="E4" s="566"/>
      <c r="F4" s="567" t="str">
        <f t="shared" ref="F4:F20" si="0">IF(ISBLANK(E4),"----",E4-D4)</f>
        <v>----</v>
      </c>
      <c r="G4" s="566"/>
      <c r="H4" s="567" t="str">
        <f t="shared" ref="H4:H20" si="1">IF(OR(G4="Complete",ISBLANK(G4)),"----",G4-$D4)</f>
        <v>----</v>
      </c>
      <c r="I4" s="565"/>
      <c r="J4" s="96" t="str">
        <f t="shared" ref="J4:J20" si="2">IF(OR(I4="Complete",ISBLANK(I4)),"----",I4-$D4)</f>
        <v>----</v>
      </c>
      <c r="K4" t="s">
        <v>130</v>
      </c>
    </row>
    <row r="5" spans="1:11">
      <c r="A5" s="88">
        <v>44124</v>
      </c>
      <c r="B5" s="101" t="s">
        <v>316</v>
      </c>
      <c r="C5" s="82">
        <v>636750.65</v>
      </c>
      <c r="D5" s="436">
        <v>199790.65</v>
      </c>
      <c r="E5" s="476"/>
      <c r="F5" s="477" t="str">
        <f t="shared" si="0"/>
        <v>----</v>
      </c>
      <c r="G5" s="476"/>
      <c r="H5" s="477" t="str">
        <f t="shared" si="1"/>
        <v>----</v>
      </c>
      <c r="I5" s="489"/>
      <c r="J5" s="83" t="str">
        <f t="shared" si="2"/>
        <v>----</v>
      </c>
    </row>
    <row r="6" spans="1:11">
      <c r="A6" s="102">
        <v>44824</v>
      </c>
      <c r="B6" s="103" t="s">
        <v>564</v>
      </c>
      <c r="C6" s="87">
        <v>426853.5</v>
      </c>
      <c r="D6" s="471">
        <f>C6</f>
        <v>426853.5</v>
      </c>
      <c r="E6" s="478">
        <v>429601.15</v>
      </c>
      <c r="F6" s="490">
        <f t="shared" si="0"/>
        <v>2747.6500000000233</v>
      </c>
      <c r="G6" s="478" t="s">
        <v>704</v>
      </c>
      <c r="H6" s="490" t="str">
        <f t="shared" si="1"/>
        <v>----</v>
      </c>
      <c r="I6" s="491" t="s">
        <v>704</v>
      </c>
      <c r="J6" s="115" t="str">
        <f t="shared" si="2"/>
        <v>----</v>
      </c>
    </row>
    <row r="7" spans="1:11">
      <c r="A7" s="102"/>
      <c r="B7" s="103"/>
      <c r="C7" s="87"/>
      <c r="D7" s="471"/>
      <c r="E7" s="478"/>
      <c r="F7" s="490" t="str">
        <f t="shared" si="0"/>
        <v>----</v>
      </c>
      <c r="G7" s="478"/>
      <c r="H7" s="490" t="str">
        <f t="shared" si="1"/>
        <v>----</v>
      </c>
      <c r="I7" s="491"/>
      <c r="J7" s="115" t="str">
        <f t="shared" si="2"/>
        <v>----</v>
      </c>
    </row>
    <row r="8" spans="1:11">
      <c r="A8" s="102"/>
      <c r="B8" s="103"/>
      <c r="C8" s="87"/>
      <c r="D8" s="471"/>
      <c r="E8" s="478"/>
      <c r="F8" s="490" t="str">
        <f t="shared" si="0"/>
        <v>----</v>
      </c>
      <c r="G8" s="478"/>
      <c r="H8" s="490" t="str">
        <f t="shared" si="1"/>
        <v>----</v>
      </c>
      <c r="I8" s="491"/>
      <c r="J8" s="115" t="str">
        <f t="shared" si="2"/>
        <v>----</v>
      </c>
    </row>
    <row r="9" spans="1:11">
      <c r="A9" s="102"/>
      <c r="B9" s="103"/>
      <c r="C9" s="87"/>
      <c r="D9" s="471"/>
      <c r="E9" s="478"/>
      <c r="F9" s="490" t="str">
        <f t="shared" si="0"/>
        <v>----</v>
      </c>
      <c r="G9" s="478"/>
      <c r="H9" s="490" t="str">
        <f t="shared" si="1"/>
        <v>----</v>
      </c>
      <c r="I9" s="491"/>
      <c r="J9" s="115" t="str">
        <f t="shared" si="2"/>
        <v>----</v>
      </c>
    </row>
    <row r="10" spans="1:11">
      <c r="A10" s="102"/>
      <c r="B10" s="103"/>
      <c r="C10" s="87"/>
      <c r="D10" s="471"/>
      <c r="E10" s="478"/>
      <c r="F10" s="490" t="str">
        <f t="shared" si="0"/>
        <v>----</v>
      </c>
      <c r="G10" s="478"/>
      <c r="H10" s="490" t="str">
        <f t="shared" si="1"/>
        <v>----</v>
      </c>
      <c r="I10" s="491"/>
      <c r="J10" s="115" t="str">
        <f t="shared" si="2"/>
        <v>----</v>
      </c>
    </row>
    <row r="11" spans="1:11">
      <c r="A11" s="102"/>
      <c r="B11" s="103"/>
      <c r="C11" s="87"/>
      <c r="D11" s="471"/>
      <c r="E11" s="478"/>
      <c r="F11" s="490" t="str">
        <f t="shared" si="0"/>
        <v>----</v>
      </c>
      <c r="G11" s="478"/>
      <c r="H11" s="490" t="str">
        <f t="shared" si="1"/>
        <v>----</v>
      </c>
      <c r="I11" s="491"/>
      <c r="J11" s="115" t="str">
        <f t="shared" si="2"/>
        <v>----</v>
      </c>
    </row>
    <row r="12" spans="1:11">
      <c r="A12" s="102"/>
      <c r="B12" s="103"/>
      <c r="C12" s="87"/>
      <c r="D12" s="471"/>
      <c r="E12" s="478"/>
      <c r="F12" s="490" t="str">
        <f t="shared" si="0"/>
        <v>----</v>
      </c>
      <c r="G12" s="478"/>
      <c r="H12" s="490" t="str">
        <f t="shared" si="1"/>
        <v>----</v>
      </c>
      <c r="I12" s="491"/>
      <c r="J12" s="115" t="str">
        <f t="shared" si="2"/>
        <v>----</v>
      </c>
    </row>
    <row r="13" spans="1:11">
      <c r="A13" s="102"/>
      <c r="B13" s="103"/>
      <c r="C13" s="87"/>
      <c r="D13" s="471"/>
      <c r="E13" s="478"/>
      <c r="F13" s="490" t="str">
        <f t="shared" si="0"/>
        <v>----</v>
      </c>
      <c r="G13" s="478"/>
      <c r="H13" s="490" t="str">
        <f t="shared" si="1"/>
        <v>----</v>
      </c>
      <c r="I13" s="491"/>
      <c r="J13" s="115" t="str">
        <f t="shared" si="2"/>
        <v>----</v>
      </c>
    </row>
    <row r="14" spans="1:11">
      <c r="A14" s="102"/>
      <c r="B14" s="103"/>
      <c r="C14" s="87"/>
      <c r="D14" s="471"/>
      <c r="E14" s="478"/>
      <c r="F14" s="490" t="str">
        <f t="shared" si="0"/>
        <v>----</v>
      </c>
      <c r="G14" s="478"/>
      <c r="H14" s="490" t="str">
        <f t="shared" si="1"/>
        <v>----</v>
      </c>
      <c r="I14" s="491"/>
      <c r="J14" s="115" t="str">
        <f t="shared" si="2"/>
        <v>----</v>
      </c>
    </row>
    <row r="15" spans="1:11">
      <c r="A15" s="102"/>
      <c r="B15" s="103"/>
      <c r="C15" s="87"/>
      <c r="D15" s="471"/>
      <c r="E15" s="478"/>
      <c r="F15" s="490" t="str">
        <f t="shared" si="0"/>
        <v>----</v>
      </c>
      <c r="G15" s="478"/>
      <c r="H15" s="490" t="str">
        <f t="shared" si="1"/>
        <v>----</v>
      </c>
      <c r="I15" s="491"/>
      <c r="J15" s="115" t="str">
        <f t="shared" si="2"/>
        <v>----</v>
      </c>
    </row>
    <row r="16" spans="1:11">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02"/>
      <c r="B18" s="103"/>
      <c r="C18" s="87"/>
      <c r="D18" s="471"/>
      <c r="E18" s="478"/>
      <c r="F18" s="490" t="str">
        <f t="shared" si="0"/>
        <v>----</v>
      </c>
      <c r="G18" s="478"/>
      <c r="H18" s="490" t="str">
        <f t="shared" si="1"/>
        <v>----</v>
      </c>
      <c r="I18" s="491"/>
      <c r="J18" s="115" t="str">
        <f t="shared" si="2"/>
        <v>----</v>
      </c>
    </row>
    <row r="19" spans="1:10">
      <c r="A19" s="116"/>
      <c r="B19" s="117"/>
      <c r="C19" s="118"/>
      <c r="D19" s="472"/>
      <c r="E19" s="479"/>
      <c r="F19" s="492" t="str">
        <f t="shared" si="0"/>
        <v>----</v>
      </c>
      <c r="G19" s="479"/>
      <c r="H19" s="492" t="str">
        <f t="shared" si="1"/>
        <v>----</v>
      </c>
      <c r="I19" s="493"/>
      <c r="J19" s="119" t="str">
        <f t="shared" si="2"/>
        <v>----</v>
      </c>
    </row>
    <row r="20" spans="1:10" ht="15.75" thickBot="1">
      <c r="A20" s="74"/>
      <c r="B20" s="75"/>
      <c r="C20" s="76"/>
      <c r="D20" s="435"/>
      <c r="E20" s="480"/>
      <c r="F20" s="481" t="str">
        <f t="shared" si="0"/>
        <v>----</v>
      </c>
      <c r="G20" s="480"/>
      <c r="H20" s="481" t="str">
        <f t="shared" si="1"/>
        <v>----</v>
      </c>
      <c r="I20" s="486"/>
      <c r="J20" s="77" t="str">
        <f t="shared" si="2"/>
        <v>----</v>
      </c>
    </row>
    <row r="21" spans="1:10" ht="15.75" thickBot="1">
      <c r="A21" s="27"/>
      <c r="B21" s="27"/>
      <c r="C21" s="28"/>
      <c r="D21" s="28"/>
      <c r="E21" s="444"/>
      <c r="F21" s="446">
        <f>SUM(F4:F20)</f>
        <v>2747.6500000000233</v>
      </c>
      <c r="G21" s="444"/>
      <c r="H21" s="446">
        <f>SUM(H4:H20)</f>
        <v>0</v>
      </c>
      <c r="I21" s="28"/>
      <c r="J21" s="69">
        <f>SUM(J4:J20)</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7" customWidth="1"/>
    <col min="6" max="6" width="11.7109375" style="437" customWidth="1"/>
    <col min="7" max="7" width="14.5703125" style="437" customWidth="1"/>
    <col min="8" max="8" width="11.7109375" style="437" customWidth="1"/>
    <col min="9" max="9" width="14.5703125" customWidth="1"/>
    <col min="10" max="10" width="11.7109375" customWidth="1"/>
  </cols>
  <sheetData>
    <row r="1" spans="1:11" ht="14.25" customHeight="1" thickBot="1">
      <c r="A1" s="932" t="s">
        <v>124</v>
      </c>
      <c r="B1" s="933"/>
      <c r="C1" s="933"/>
      <c r="D1" s="933"/>
      <c r="E1" s="933"/>
      <c r="F1" s="933"/>
      <c r="G1" s="933"/>
      <c r="H1" s="933"/>
      <c r="I1" s="933"/>
      <c r="J1" s="934"/>
    </row>
    <row r="2" spans="1:11" s="437" customFormat="1" ht="14.25" customHeight="1">
      <c r="A2" s="939" t="s">
        <v>110</v>
      </c>
      <c r="B2" s="941" t="s">
        <v>111</v>
      </c>
      <c r="C2" s="941" t="s">
        <v>112</v>
      </c>
      <c r="D2" s="943" t="s">
        <v>120</v>
      </c>
      <c r="E2" s="937" t="s">
        <v>702</v>
      </c>
      <c r="F2" s="938"/>
      <c r="G2" s="937" t="s">
        <v>703</v>
      </c>
      <c r="H2" s="938"/>
      <c r="I2" s="912" t="s">
        <v>801</v>
      </c>
      <c r="J2" s="913"/>
    </row>
    <row r="3" spans="1:11" ht="57.75" thickBot="1">
      <c r="A3" s="940"/>
      <c r="B3" s="942"/>
      <c r="C3" s="942"/>
      <c r="D3" s="944"/>
      <c r="E3" s="465" t="s">
        <v>121</v>
      </c>
      <c r="F3" s="473" t="s">
        <v>113</v>
      </c>
      <c r="G3" s="465" t="s">
        <v>121</v>
      </c>
      <c r="H3" s="473" t="s">
        <v>113</v>
      </c>
      <c r="I3" s="483" t="s">
        <v>121</v>
      </c>
      <c r="J3" s="25" t="s">
        <v>113</v>
      </c>
    </row>
    <row r="4" spans="1:11">
      <c r="A4" s="70">
        <v>44180</v>
      </c>
      <c r="B4" s="71" t="s">
        <v>358</v>
      </c>
      <c r="C4" s="72">
        <v>1449876.73</v>
      </c>
      <c r="D4" s="434">
        <f>C4</f>
        <v>1449876.73</v>
      </c>
      <c r="E4" s="474">
        <v>1415481.86</v>
      </c>
      <c r="F4" s="475">
        <f>IF(ISBLANK(E4),"----",E4-$D4)</f>
        <v>-34394.869999999879</v>
      </c>
      <c r="G4" s="474" t="s">
        <v>704</v>
      </c>
      <c r="H4" s="475" t="str">
        <f t="shared" ref="H4:H17" si="0">IF(OR(G4="Complete",ISBLANK(G4)),"----",G4-$D4)</f>
        <v>----</v>
      </c>
      <c r="I4" s="484" t="s">
        <v>704</v>
      </c>
      <c r="J4" s="73" t="str">
        <f t="shared" ref="J4:J17" si="1">IF(OR(I4="Complete",ISBLANK(I4)),"----",I4-$D4)</f>
        <v>----</v>
      </c>
    </row>
    <row r="5" spans="1:11">
      <c r="A5" s="194">
        <v>44216</v>
      </c>
      <c r="B5" s="195" t="s">
        <v>367</v>
      </c>
      <c r="C5" s="196">
        <v>799366.85</v>
      </c>
      <c r="D5" s="494">
        <f>C5</f>
        <v>799366.85</v>
      </c>
      <c r="E5" s="496"/>
      <c r="F5" s="497" t="str">
        <f t="shared" ref="F5:F17" si="2">IF(ISBLANK(E5),"----",E5-$D5)</f>
        <v>----</v>
      </c>
      <c r="G5" s="496"/>
      <c r="H5" s="497" t="str">
        <f t="shared" si="0"/>
        <v>----</v>
      </c>
      <c r="I5" s="495"/>
      <c r="J5" s="197" t="str">
        <f t="shared" si="1"/>
        <v>----</v>
      </c>
      <c r="K5" t="s">
        <v>387</v>
      </c>
    </row>
    <row r="6" spans="1:11">
      <c r="A6" s="102">
        <v>44216</v>
      </c>
      <c r="B6" s="103" t="s">
        <v>368</v>
      </c>
      <c r="C6" s="87">
        <v>700452.45</v>
      </c>
      <c r="D6" s="471">
        <v>326996.01</v>
      </c>
      <c r="E6" s="478">
        <v>316950.78999999998</v>
      </c>
      <c r="F6" s="492">
        <f t="shared" si="2"/>
        <v>-10045.22000000003</v>
      </c>
      <c r="G6" s="478" t="s">
        <v>704</v>
      </c>
      <c r="H6" s="492" t="str">
        <f t="shared" si="0"/>
        <v>----</v>
      </c>
      <c r="I6" s="491" t="s">
        <v>704</v>
      </c>
      <c r="J6" s="119" t="str">
        <f t="shared" si="1"/>
        <v>----</v>
      </c>
    </row>
    <row r="7" spans="1:11">
      <c r="A7" s="102">
        <v>44334</v>
      </c>
      <c r="B7" s="103" t="s">
        <v>367</v>
      </c>
      <c r="C7" s="87">
        <v>808094.85</v>
      </c>
      <c r="D7" s="471">
        <f>C7</f>
        <v>808094.85</v>
      </c>
      <c r="E7" s="478"/>
      <c r="F7" s="492" t="str">
        <f t="shared" si="2"/>
        <v>----</v>
      </c>
      <c r="G7" s="478">
        <v>809813.81</v>
      </c>
      <c r="H7" s="492">
        <f t="shared" si="0"/>
        <v>1718.9600000000792</v>
      </c>
      <c r="I7" s="803" t="s">
        <v>704</v>
      </c>
      <c r="J7" s="119" t="str">
        <f t="shared" si="1"/>
        <v>----</v>
      </c>
    </row>
    <row r="8" spans="1:11">
      <c r="A8" s="102"/>
      <c r="B8" s="103"/>
      <c r="C8" s="87"/>
      <c r="D8" s="471"/>
      <c r="E8" s="478"/>
      <c r="F8" s="492" t="str">
        <f t="shared" si="2"/>
        <v>----</v>
      </c>
      <c r="G8" s="478"/>
      <c r="H8" s="492" t="str">
        <f t="shared" si="0"/>
        <v>----</v>
      </c>
      <c r="I8" s="491"/>
      <c r="J8" s="119" t="str">
        <f t="shared" si="1"/>
        <v>----</v>
      </c>
    </row>
    <row r="9" spans="1:11">
      <c r="A9" s="102"/>
      <c r="B9" s="103"/>
      <c r="C9" s="87"/>
      <c r="D9" s="471"/>
      <c r="E9" s="478"/>
      <c r="F9" s="492" t="str">
        <f t="shared" si="2"/>
        <v>----</v>
      </c>
      <c r="G9" s="478"/>
      <c r="H9" s="492" t="str">
        <f t="shared" si="0"/>
        <v>----</v>
      </c>
      <c r="I9" s="491"/>
      <c r="J9" s="119" t="str">
        <f t="shared" si="1"/>
        <v>----</v>
      </c>
    </row>
    <row r="10" spans="1:11">
      <c r="A10" s="102"/>
      <c r="B10" s="103"/>
      <c r="C10" s="87"/>
      <c r="D10" s="471"/>
      <c r="E10" s="478"/>
      <c r="F10" s="492" t="str">
        <f t="shared" si="2"/>
        <v>----</v>
      </c>
      <c r="G10" s="478"/>
      <c r="H10" s="492" t="str">
        <f t="shared" si="0"/>
        <v>----</v>
      </c>
      <c r="I10" s="491"/>
      <c r="J10" s="119" t="str">
        <f t="shared" si="1"/>
        <v>----</v>
      </c>
    </row>
    <row r="11" spans="1:11">
      <c r="A11" s="102"/>
      <c r="B11" s="103"/>
      <c r="C11" s="87"/>
      <c r="D11" s="471"/>
      <c r="E11" s="478"/>
      <c r="F11" s="492" t="str">
        <f t="shared" si="2"/>
        <v>----</v>
      </c>
      <c r="G11" s="478"/>
      <c r="H11" s="492" t="str">
        <f t="shared" si="0"/>
        <v>----</v>
      </c>
      <c r="I11" s="491"/>
      <c r="J11" s="119" t="str">
        <f t="shared" si="1"/>
        <v>----</v>
      </c>
    </row>
    <row r="12" spans="1:11">
      <c r="A12" s="102"/>
      <c r="B12" s="103"/>
      <c r="C12" s="87"/>
      <c r="D12" s="471"/>
      <c r="E12" s="478"/>
      <c r="F12" s="492" t="str">
        <f t="shared" si="2"/>
        <v>----</v>
      </c>
      <c r="G12" s="478"/>
      <c r="H12" s="492" t="str">
        <f t="shared" si="0"/>
        <v>----</v>
      </c>
      <c r="I12" s="491"/>
      <c r="J12" s="119" t="str">
        <f t="shared" si="1"/>
        <v>----</v>
      </c>
    </row>
    <row r="13" spans="1:11">
      <c r="A13" s="102"/>
      <c r="B13" s="103"/>
      <c r="C13" s="87"/>
      <c r="D13" s="471"/>
      <c r="E13" s="478"/>
      <c r="F13" s="492" t="str">
        <f t="shared" si="2"/>
        <v>----</v>
      </c>
      <c r="G13" s="478"/>
      <c r="H13" s="492" t="str">
        <f t="shared" si="0"/>
        <v>----</v>
      </c>
      <c r="I13" s="491"/>
      <c r="J13" s="119" t="str">
        <f t="shared" si="1"/>
        <v>----</v>
      </c>
    </row>
    <row r="14" spans="1:11">
      <c r="A14" s="102"/>
      <c r="B14" s="103"/>
      <c r="C14" s="87"/>
      <c r="D14" s="471"/>
      <c r="E14" s="478"/>
      <c r="F14" s="492" t="str">
        <f t="shared" si="2"/>
        <v>----</v>
      </c>
      <c r="G14" s="478"/>
      <c r="H14" s="492" t="str">
        <f t="shared" si="0"/>
        <v>----</v>
      </c>
      <c r="I14" s="491"/>
      <c r="J14" s="119" t="str">
        <f t="shared" si="1"/>
        <v>----</v>
      </c>
    </row>
    <row r="15" spans="1:11">
      <c r="A15" s="102"/>
      <c r="B15" s="103"/>
      <c r="C15" s="87"/>
      <c r="D15" s="471"/>
      <c r="E15" s="478"/>
      <c r="F15" s="492" t="str">
        <f t="shared" si="2"/>
        <v>----</v>
      </c>
      <c r="G15" s="478"/>
      <c r="H15" s="492" t="str">
        <f t="shared" si="0"/>
        <v>----</v>
      </c>
      <c r="I15" s="491"/>
      <c r="J15" s="119" t="str">
        <f t="shared" si="1"/>
        <v>----</v>
      </c>
    </row>
    <row r="16" spans="1:11">
      <c r="A16" s="116"/>
      <c r="B16" s="117"/>
      <c r="C16" s="118"/>
      <c r="D16" s="472"/>
      <c r="E16" s="479"/>
      <c r="F16" s="492" t="str">
        <f t="shared" si="2"/>
        <v>----</v>
      </c>
      <c r="G16" s="479"/>
      <c r="H16" s="492" t="str">
        <f t="shared" si="0"/>
        <v>----</v>
      </c>
      <c r="I16" s="493"/>
      <c r="J16" s="119" t="str">
        <f t="shared" si="1"/>
        <v>----</v>
      </c>
    </row>
    <row r="17" spans="1:11" ht="15.75" thickBot="1">
      <c r="A17" s="74"/>
      <c r="B17" s="75"/>
      <c r="C17" s="76"/>
      <c r="D17" s="435"/>
      <c r="E17" s="480"/>
      <c r="F17" s="481" t="str">
        <f t="shared" si="2"/>
        <v>----</v>
      </c>
      <c r="G17" s="480"/>
      <c r="H17" s="481" t="str">
        <f t="shared" si="0"/>
        <v>----</v>
      </c>
      <c r="I17" s="486"/>
      <c r="J17" s="77" t="str">
        <f t="shared" si="1"/>
        <v>----</v>
      </c>
    </row>
    <row r="18" spans="1:11" ht="15.75" thickBot="1">
      <c r="A18" s="27"/>
      <c r="B18" s="27"/>
      <c r="C18" s="28"/>
      <c r="D18" s="28"/>
      <c r="E18" s="444"/>
      <c r="F18" s="446">
        <f>SUM(F4:F17)</f>
        <v>-44440.089999999909</v>
      </c>
      <c r="G18" s="444"/>
      <c r="H18" s="446">
        <f>SUM(H4:H17)</f>
        <v>1718.9600000000792</v>
      </c>
      <c r="I18" s="28"/>
      <c r="J18" s="69">
        <f>SUM(J4:J17)</f>
        <v>0</v>
      </c>
      <c r="K18" s="17"/>
    </row>
    <row r="19" spans="1:11">
      <c r="A19" s="17"/>
      <c r="B19" s="17"/>
      <c r="C19" s="20"/>
      <c r="D19" s="20"/>
      <c r="E19" s="440"/>
      <c r="F19" s="440"/>
      <c r="G19" s="440"/>
      <c r="H19" s="440"/>
      <c r="I19" s="20"/>
      <c r="J19" s="20"/>
      <c r="K19" s="17"/>
    </row>
    <row r="20" spans="1:11">
      <c r="A20" s="17"/>
      <c r="B20" s="17"/>
      <c r="C20" s="20"/>
      <c r="D20" s="20"/>
      <c r="E20" s="440"/>
      <c r="F20" s="440"/>
      <c r="G20" s="440"/>
      <c r="H20" s="440"/>
      <c r="I20" s="20"/>
      <c r="J20" s="20"/>
      <c r="K20" s="17"/>
    </row>
    <row r="21" spans="1:11">
      <c r="A21" s="17"/>
      <c r="B21" s="17"/>
      <c r="C21" s="20"/>
      <c r="D21" s="20"/>
      <c r="E21" s="440"/>
      <c r="F21" s="440"/>
      <c r="G21" s="440"/>
      <c r="H21" s="440"/>
      <c r="I21" s="20"/>
      <c r="J21" s="20"/>
      <c r="K21" s="17"/>
    </row>
    <row r="22" spans="1:11">
      <c r="A22" s="17"/>
      <c r="B22" s="17"/>
      <c r="C22" s="20"/>
      <c r="D22" s="20"/>
      <c r="E22" s="440"/>
      <c r="F22" s="440"/>
      <c r="G22" s="440"/>
      <c r="H22" s="440"/>
      <c r="I22" s="20"/>
      <c r="J22" s="20"/>
      <c r="K22" s="17"/>
    </row>
    <row r="23" spans="1:11">
      <c r="A23" s="17"/>
      <c r="B23" s="17"/>
      <c r="C23" s="20"/>
      <c r="D23" s="20"/>
      <c r="E23" s="440"/>
      <c r="F23" s="440"/>
      <c r="G23" s="440"/>
      <c r="H23" s="440"/>
      <c r="I23" s="20"/>
      <c r="J23" s="20"/>
      <c r="K23" s="17"/>
    </row>
    <row r="24" spans="1:11">
      <c r="A24" s="17"/>
      <c r="B24" s="17"/>
      <c r="C24" s="20"/>
      <c r="D24" s="20"/>
      <c r="E24" s="440"/>
      <c r="F24" s="440"/>
      <c r="G24" s="440"/>
      <c r="H24" s="440"/>
      <c r="I24" s="20"/>
      <c r="J24" s="20"/>
      <c r="K24" s="17"/>
    </row>
    <row r="25" spans="1:11">
      <c r="A25" s="17"/>
      <c r="B25" s="17"/>
      <c r="C25" s="20"/>
      <c r="D25" s="20"/>
      <c r="E25" s="440"/>
      <c r="F25" s="440"/>
      <c r="G25" s="440"/>
      <c r="H25" s="440"/>
      <c r="I25" s="20"/>
      <c r="J25" s="20"/>
      <c r="K25" s="17"/>
    </row>
    <row r="26" spans="1:11">
      <c r="A26" s="17"/>
      <c r="B26" s="17"/>
      <c r="C26" s="20"/>
      <c r="D26" s="20"/>
      <c r="E26" s="440"/>
      <c r="F26" s="440"/>
      <c r="G26" s="440"/>
      <c r="H26" s="440"/>
      <c r="I26" s="20"/>
      <c r="J26" s="20"/>
      <c r="K26" s="17"/>
    </row>
    <row r="27" spans="1:11">
      <c r="A27" s="17"/>
      <c r="B27" s="17"/>
      <c r="C27" s="20"/>
      <c r="D27" s="20"/>
      <c r="E27" s="440"/>
      <c r="F27" s="440"/>
      <c r="G27" s="440"/>
      <c r="H27" s="440"/>
      <c r="I27" s="20"/>
      <c r="J27" s="20"/>
      <c r="K27" s="17"/>
    </row>
    <row r="28" spans="1:11">
      <c r="A28" s="17"/>
      <c r="B28" s="17"/>
      <c r="C28" s="20"/>
      <c r="D28" s="20"/>
      <c r="E28" s="440"/>
      <c r="F28" s="440"/>
      <c r="G28" s="440"/>
      <c r="H28" s="440"/>
      <c r="I28" s="20"/>
      <c r="J28" s="20"/>
      <c r="K28" s="17"/>
    </row>
    <row r="29" spans="1:11">
      <c r="A29" s="17"/>
      <c r="B29" s="17"/>
      <c r="C29" s="20"/>
      <c r="D29" s="20"/>
      <c r="E29" s="440"/>
      <c r="F29" s="440"/>
      <c r="G29" s="440"/>
      <c r="H29" s="440"/>
      <c r="I29" s="20"/>
      <c r="J29" s="20"/>
      <c r="K29" s="17"/>
    </row>
    <row r="30" spans="1:11">
      <c r="A30" s="17"/>
      <c r="B30" s="17"/>
      <c r="C30" s="20"/>
      <c r="D30" s="20"/>
      <c r="E30" s="440"/>
      <c r="F30" s="440"/>
      <c r="G30" s="440"/>
      <c r="H30" s="440"/>
      <c r="I30" s="20"/>
      <c r="J30" s="20"/>
      <c r="K30" s="17"/>
    </row>
    <row r="31" spans="1:11">
      <c r="A31" s="17"/>
      <c r="B31" s="17"/>
      <c r="C31" s="20"/>
      <c r="D31" s="20"/>
      <c r="E31" s="440"/>
      <c r="F31" s="440"/>
      <c r="G31" s="440"/>
      <c r="H31" s="440"/>
      <c r="I31" s="20"/>
      <c r="J31" s="20"/>
      <c r="K31" s="17"/>
    </row>
    <row r="32" spans="1:11">
      <c r="A32" s="17"/>
      <c r="B32" s="17"/>
      <c r="C32" s="20"/>
      <c r="D32" s="20"/>
      <c r="E32" s="440"/>
      <c r="F32" s="440"/>
      <c r="G32" s="440"/>
      <c r="H32" s="440"/>
      <c r="I32" s="20"/>
      <c r="J32" s="20"/>
      <c r="K32" s="17"/>
    </row>
    <row r="33" spans="1:11">
      <c r="A33" s="17"/>
      <c r="B33" s="17"/>
      <c r="C33" s="20"/>
      <c r="D33" s="20"/>
      <c r="E33" s="440"/>
      <c r="F33" s="440"/>
      <c r="G33" s="440"/>
      <c r="H33" s="440"/>
      <c r="I33" s="20"/>
      <c r="J33" s="20"/>
      <c r="K33" s="17"/>
    </row>
    <row r="34" spans="1:11">
      <c r="C34" s="21"/>
      <c r="D34" s="21"/>
      <c r="E34" s="441"/>
      <c r="F34" s="441"/>
      <c r="G34" s="441"/>
      <c r="H34" s="441"/>
      <c r="I34" s="21"/>
      <c r="J34" s="21"/>
    </row>
    <row r="35" spans="1:11">
      <c r="C35" s="21"/>
      <c r="D35" s="21"/>
      <c r="E35" s="441"/>
      <c r="F35" s="441"/>
      <c r="G35" s="441"/>
      <c r="H35" s="441"/>
      <c r="I35" s="21"/>
      <c r="J35" s="21"/>
    </row>
    <row r="36" spans="1:11">
      <c r="C36" s="22"/>
      <c r="D36" s="22"/>
      <c r="E36" s="442"/>
      <c r="F36" s="442"/>
      <c r="G36" s="442"/>
      <c r="H36" s="442"/>
      <c r="I36" s="22"/>
      <c r="J36" s="22"/>
    </row>
    <row r="37" spans="1:11">
      <c r="C37" s="22"/>
      <c r="D37" s="22"/>
      <c r="E37" s="442"/>
      <c r="F37" s="442"/>
      <c r="G37" s="442"/>
      <c r="H37" s="442"/>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7" bestFit="1" customWidth="1"/>
    <col min="6" max="6" width="13.140625" style="437" customWidth="1"/>
    <col min="7" max="7" width="10.7109375" style="437" bestFit="1" customWidth="1"/>
    <col min="8" max="8" width="13.140625" style="437" customWidth="1"/>
    <col min="9" max="9" width="10.7109375" bestFit="1" customWidth="1"/>
    <col min="10" max="10" width="13.140625" customWidth="1"/>
  </cols>
  <sheetData>
    <row r="1" spans="1:10" ht="15.75" thickBot="1">
      <c r="A1" s="932" t="s">
        <v>186</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6.5" thickBot="1">
      <c r="A3" s="940"/>
      <c r="B3" s="942"/>
      <c r="C3" s="942"/>
      <c r="D3" s="954"/>
      <c r="E3" s="465" t="s">
        <v>121</v>
      </c>
      <c r="F3" s="473" t="s">
        <v>113</v>
      </c>
      <c r="G3" s="465" t="s">
        <v>121</v>
      </c>
      <c r="H3" s="473" t="s">
        <v>113</v>
      </c>
      <c r="I3" s="483" t="s">
        <v>121</v>
      </c>
      <c r="J3" s="25" t="s">
        <v>113</v>
      </c>
    </row>
    <row r="4" spans="1:10">
      <c r="A4" s="70">
        <v>43852</v>
      </c>
      <c r="B4" s="71" t="s">
        <v>195</v>
      </c>
      <c r="C4" s="72">
        <v>648175.25</v>
      </c>
      <c r="D4" s="434">
        <f>C4</f>
        <v>648175.25</v>
      </c>
      <c r="E4" s="474">
        <v>654579.03</v>
      </c>
      <c r="F4" s="475">
        <f t="shared" ref="F4:F21" si="0">IF(ISBLANK(E4),"----",E4-D4)</f>
        <v>6403.7800000000279</v>
      </c>
      <c r="G4" s="474" t="s">
        <v>704</v>
      </c>
      <c r="H4" s="475" t="str">
        <f t="shared" ref="H4:H21" si="1">IF(OR(G4="Complete",ISBLANK(G4)),"----",G4-$D4)</f>
        <v>----</v>
      </c>
      <c r="I4" s="484" t="s">
        <v>704</v>
      </c>
      <c r="J4" s="73" t="str">
        <f t="shared" ref="J4:J21" si="2">IF(OR(I4="Complete",ISBLANK(I4)),"----",I4-$D4)</f>
        <v>----</v>
      </c>
    </row>
    <row r="5" spans="1:10">
      <c r="A5" s="91">
        <v>44944</v>
      </c>
      <c r="B5" s="92" t="s">
        <v>631</v>
      </c>
      <c r="C5" s="84">
        <v>210874</v>
      </c>
      <c r="D5" s="482">
        <f>C5</f>
        <v>210874</v>
      </c>
      <c r="E5" s="487"/>
      <c r="F5" s="529" t="str">
        <f t="shared" si="0"/>
        <v>----</v>
      </c>
      <c r="G5" s="487">
        <v>209628.4</v>
      </c>
      <c r="H5" s="529">
        <f t="shared" si="1"/>
        <v>-1245.6000000000058</v>
      </c>
      <c r="I5" s="485" t="s">
        <v>704</v>
      </c>
      <c r="J5" s="140" t="str">
        <f t="shared" si="2"/>
        <v>----</v>
      </c>
    </row>
    <row r="6" spans="1:10">
      <c r="A6" s="102">
        <v>45433</v>
      </c>
      <c r="B6" s="455" t="s">
        <v>754</v>
      </c>
      <c r="C6" s="373">
        <v>349183.4</v>
      </c>
      <c r="D6" s="471">
        <f>C6</f>
        <v>349183.4</v>
      </c>
      <c r="E6" s="478"/>
      <c r="F6" s="529" t="str">
        <f t="shared" si="0"/>
        <v>----</v>
      </c>
      <c r="G6" s="478"/>
      <c r="H6" s="529" t="str">
        <f t="shared" si="1"/>
        <v>----</v>
      </c>
      <c r="I6" s="491"/>
      <c r="J6" s="140" t="str">
        <f t="shared" si="2"/>
        <v>----</v>
      </c>
    </row>
    <row r="7" spans="1:10">
      <c r="A7" s="102"/>
      <c r="B7" s="103"/>
      <c r="C7" s="87"/>
      <c r="D7" s="471"/>
      <c r="E7" s="478"/>
      <c r="F7" s="529" t="str">
        <f t="shared" si="0"/>
        <v>----</v>
      </c>
      <c r="G7" s="478"/>
      <c r="H7" s="529" t="str">
        <f t="shared" si="1"/>
        <v>----</v>
      </c>
      <c r="I7" s="491"/>
      <c r="J7" s="140" t="str">
        <f t="shared" si="2"/>
        <v>----</v>
      </c>
    </row>
    <row r="8" spans="1:10">
      <c r="A8" s="102"/>
      <c r="B8" s="103"/>
      <c r="C8" s="87"/>
      <c r="D8" s="471"/>
      <c r="E8" s="478"/>
      <c r="F8" s="529" t="str">
        <f t="shared" si="0"/>
        <v>----</v>
      </c>
      <c r="G8" s="478"/>
      <c r="H8" s="529" t="str">
        <f t="shared" si="1"/>
        <v>----</v>
      </c>
      <c r="I8" s="491"/>
      <c r="J8" s="140" t="str">
        <f t="shared" si="2"/>
        <v>----</v>
      </c>
    </row>
    <row r="9" spans="1:10">
      <c r="A9" s="102"/>
      <c r="B9" s="103"/>
      <c r="C9" s="87"/>
      <c r="D9" s="471"/>
      <c r="E9" s="478"/>
      <c r="F9" s="529" t="str">
        <f t="shared" si="0"/>
        <v>----</v>
      </c>
      <c r="G9" s="478"/>
      <c r="H9" s="529" t="str">
        <f t="shared" si="1"/>
        <v>----</v>
      </c>
      <c r="I9" s="491"/>
      <c r="J9" s="140" t="str">
        <f t="shared" si="2"/>
        <v>----</v>
      </c>
    </row>
    <row r="10" spans="1:10">
      <c r="A10" s="102"/>
      <c r="B10" s="103"/>
      <c r="C10" s="87"/>
      <c r="D10" s="471"/>
      <c r="E10" s="478"/>
      <c r="F10" s="529" t="str">
        <f t="shared" si="0"/>
        <v>----</v>
      </c>
      <c r="G10" s="478"/>
      <c r="H10" s="529" t="str">
        <f t="shared" si="1"/>
        <v>----</v>
      </c>
      <c r="I10" s="491"/>
      <c r="J10" s="140" t="str">
        <f t="shared" si="2"/>
        <v>----</v>
      </c>
    </row>
    <row r="11" spans="1:10">
      <c r="A11" s="102"/>
      <c r="B11" s="103"/>
      <c r="C11" s="87"/>
      <c r="D11" s="471"/>
      <c r="E11" s="478"/>
      <c r="F11" s="529" t="str">
        <f t="shared" si="0"/>
        <v>----</v>
      </c>
      <c r="G11" s="478"/>
      <c r="H11" s="529" t="str">
        <f t="shared" si="1"/>
        <v>----</v>
      </c>
      <c r="I11" s="491"/>
      <c r="J11" s="140" t="str">
        <f t="shared" si="2"/>
        <v>----</v>
      </c>
    </row>
    <row r="12" spans="1:10">
      <c r="A12" s="102"/>
      <c r="B12" s="103"/>
      <c r="C12" s="87"/>
      <c r="D12" s="471"/>
      <c r="E12" s="478"/>
      <c r="F12" s="529" t="str">
        <f t="shared" si="0"/>
        <v>----</v>
      </c>
      <c r="G12" s="478"/>
      <c r="H12" s="529" t="str">
        <f t="shared" si="1"/>
        <v>----</v>
      </c>
      <c r="I12" s="491"/>
      <c r="J12" s="140" t="str">
        <f t="shared" si="2"/>
        <v>----</v>
      </c>
    </row>
    <row r="13" spans="1:10">
      <c r="A13" s="102"/>
      <c r="B13" s="103"/>
      <c r="C13" s="87"/>
      <c r="D13" s="471"/>
      <c r="E13" s="478"/>
      <c r="F13" s="529" t="str">
        <f t="shared" si="0"/>
        <v>----</v>
      </c>
      <c r="G13" s="478"/>
      <c r="H13" s="529" t="str">
        <f t="shared" si="1"/>
        <v>----</v>
      </c>
      <c r="I13" s="491"/>
      <c r="J13" s="140" t="str">
        <f t="shared" si="2"/>
        <v>----</v>
      </c>
    </row>
    <row r="14" spans="1:10">
      <c r="A14" s="102"/>
      <c r="B14" s="103"/>
      <c r="C14" s="87"/>
      <c r="D14" s="471"/>
      <c r="E14" s="478"/>
      <c r="F14" s="529" t="str">
        <f t="shared" si="0"/>
        <v>----</v>
      </c>
      <c r="G14" s="478"/>
      <c r="H14" s="529" t="str">
        <f t="shared" si="1"/>
        <v>----</v>
      </c>
      <c r="I14" s="491"/>
      <c r="J14" s="140" t="str">
        <f t="shared" si="2"/>
        <v>----</v>
      </c>
    </row>
    <row r="15" spans="1:10">
      <c r="A15" s="102"/>
      <c r="B15" s="103"/>
      <c r="C15" s="87"/>
      <c r="D15" s="471"/>
      <c r="E15" s="478"/>
      <c r="F15" s="529" t="str">
        <f t="shared" si="0"/>
        <v>----</v>
      </c>
      <c r="G15" s="478"/>
      <c r="H15" s="529" t="str">
        <f t="shared" si="1"/>
        <v>----</v>
      </c>
      <c r="I15" s="491"/>
      <c r="J15" s="140" t="str">
        <f t="shared" si="2"/>
        <v>----</v>
      </c>
    </row>
    <row r="16" spans="1:10">
      <c r="A16" s="102"/>
      <c r="B16" s="103"/>
      <c r="C16" s="87"/>
      <c r="D16" s="471"/>
      <c r="E16" s="478"/>
      <c r="F16" s="529" t="str">
        <f t="shared" si="0"/>
        <v>----</v>
      </c>
      <c r="G16" s="478"/>
      <c r="H16" s="529" t="str">
        <f t="shared" si="1"/>
        <v>----</v>
      </c>
      <c r="I16" s="491"/>
      <c r="J16" s="140" t="str">
        <f t="shared" si="2"/>
        <v>----</v>
      </c>
    </row>
    <row r="17" spans="1:10">
      <c r="A17" s="102"/>
      <c r="B17" s="103"/>
      <c r="C17" s="87"/>
      <c r="D17" s="471"/>
      <c r="E17" s="478"/>
      <c r="F17" s="529" t="str">
        <f t="shared" si="0"/>
        <v>----</v>
      </c>
      <c r="G17" s="478"/>
      <c r="H17" s="529" t="str">
        <f t="shared" si="1"/>
        <v>----</v>
      </c>
      <c r="I17" s="491"/>
      <c r="J17" s="140" t="str">
        <f t="shared" si="2"/>
        <v>----</v>
      </c>
    </row>
    <row r="18" spans="1:10">
      <c r="A18" s="102"/>
      <c r="B18" s="103"/>
      <c r="C18" s="87"/>
      <c r="D18" s="471"/>
      <c r="E18" s="478"/>
      <c r="F18" s="529" t="str">
        <f t="shared" si="0"/>
        <v>----</v>
      </c>
      <c r="G18" s="478"/>
      <c r="H18" s="529" t="str">
        <f t="shared" si="1"/>
        <v>----</v>
      </c>
      <c r="I18" s="491"/>
      <c r="J18" s="140" t="str">
        <f t="shared" si="2"/>
        <v>----</v>
      </c>
    </row>
    <row r="19" spans="1:10">
      <c r="A19" s="102"/>
      <c r="B19" s="103"/>
      <c r="C19" s="87"/>
      <c r="D19" s="471"/>
      <c r="E19" s="478"/>
      <c r="F19" s="529" t="str">
        <f t="shared" si="0"/>
        <v>----</v>
      </c>
      <c r="G19" s="478"/>
      <c r="H19" s="529" t="str">
        <f t="shared" si="1"/>
        <v>----</v>
      </c>
      <c r="I19" s="491"/>
      <c r="J19" s="140" t="str">
        <f t="shared" si="2"/>
        <v>----</v>
      </c>
    </row>
    <row r="20" spans="1:10">
      <c r="A20" s="116"/>
      <c r="B20" s="117"/>
      <c r="C20" s="118"/>
      <c r="D20" s="472"/>
      <c r="E20" s="479"/>
      <c r="F20" s="529" t="str">
        <f t="shared" si="0"/>
        <v>----</v>
      </c>
      <c r="G20" s="479"/>
      <c r="H20" s="529" t="str">
        <f t="shared" si="1"/>
        <v>----</v>
      </c>
      <c r="I20" s="493"/>
      <c r="J20" s="140" t="str">
        <f t="shared" si="2"/>
        <v>----</v>
      </c>
    </row>
    <row r="21" spans="1:10" ht="15.75" thickBot="1">
      <c r="A21" s="74"/>
      <c r="B21" s="75"/>
      <c r="C21" s="76"/>
      <c r="D21" s="435"/>
      <c r="E21" s="480"/>
      <c r="F21" s="481" t="str">
        <f t="shared" si="0"/>
        <v>----</v>
      </c>
      <c r="G21" s="480"/>
      <c r="H21" s="481" t="str">
        <f t="shared" si="1"/>
        <v>----</v>
      </c>
      <c r="I21" s="486"/>
      <c r="J21" s="77" t="str">
        <f t="shared" si="2"/>
        <v>----</v>
      </c>
    </row>
    <row r="22" spans="1:10" ht="15.75" thickBot="1">
      <c r="A22" s="27"/>
      <c r="B22" s="27"/>
      <c r="C22" s="28"/>
      <c r="D22" s="28"/>
      <c r="E22" s="444"/>
      <c r="F22" s="446">
        <f>SUM(F4:F21)</f>
        <v>6403.7800000000279</v>
      </c>
      <c r="G22" s="444"/>
      <c r="H22" s="446">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7" bestFit="1" customWidth="1"/>
    <col min="6" max="6" width="12.140625" style="437" customWidth="1"/>
    <col min="7" max="7" width="10.7109375" style="437" bestFit="1" customWidth="1"/>
    <col min="8" max="8" width="12.140625" style="437" customWidth="1"/>
    <col min="9" max="9" width="10.7109375" bestFit="1" customWidth="1"/>
    <col min="10" max="10" width="12.140625" customWidth="1"/>
  </cols>
  <sheetData>
    <row r="1" spans="1:10" ht="15.75" thickBot="1">
      <c r="A1" s="932" t="s">
        <v>269</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44061</v>
      </c>
      <c r="B4" s="71" t="s">
        <v>301</v>
      </c>
      <c r="C4" s="104">
        <v>532653.92000000004</v>
      </c>
      <c r="D4" s="539">
        <v>327828.92</v>
      </c>
      <c r="E4" s="474">
        <v>315755.42</v>
      </c>
      <c r="F4" s="475">
        <f>IF(ISBLANK(E4),"----",E4-D4)</f>
        <v>-12073.5</v>
      </c>
      <c r="G4" s="474" t="s">
        <v>704</v>
      </c>
      <c r="H4" s="475" t="str">
        <f>IF(OR(G4="Complete",ISBLANK(G4)),"----",G4-$D4)</f>
        <v>----</v>
      </c>
      <c r="I4" s="484" t="s">
        <v>704</v>
      </c>
      <c r="J4" s="73" t="str">
        <f>IF(OR(I4="Complete",ISBLANK(I4)),"----",I4-$D4)</f>
        <v>----</v>
      </c>
    </row>
    <row r="5" spans="1:10">
      <c r="A5" s="88"/>
      <c r="B5" s="101"/>
      <c r="C5" s="82"/>
      <c r="D5" s="436"/>
      <c r="E5" s="476"/>
      <c r="F5" s="477" t="str">
        <f>IF(ISBLANK(E5),"----",E5-D5)</f>
        <v>----</v>
      </c>
      <c r="G5" s="476"/>
      <c r="H5" s="477" t="str">
        <f>IF(OR(G5="Complete",ISBLANK(G5)),"----",G5-$D5)</f>
        <v>----</v>
      </c>
      <c r="I5" s="489"/>
      <c r="J5" s="83" t="str">
        <f>IF(OR(I5="Complete",ISBLANK(I5)),"----",I5-$D5)</f>
        <v>----</v>
      </c>
    </row>
    <row r="6" spans="1:10">
      <c r="A6" s="91"/>
      <c r="B6" s="92"/>
      <c r="C6" s="84"/>
      <c r="D6" s="482"/>
      <c r="E6" s="487"/>
      <c r="F6" s="488" t="str">
        <f>IF(ISBLANK(E6),"----",E6-D6)</f>
        <v>----</v>
      </c>
      <c r="G6" s="487"/>
      <c r="H6" s="488" t="str">
        <f>IF(OR(G6="Complete",ISBLANK(G6)),"----",G6-$D6)</f>
        <v>----</v>
      </c>
      <c r="I6" s="485"/>
      <c r="J6" s="85" t="str">
        <f>IF(OR(I6="Complete",ISBLANK(I6)),"----",I6-$D6)</f>
        <v>----</v>
      </c>
    </row>
    <row r="7" spans="1:10" ht="15.75" thickBot="1">
      <c r="A7" s="74"/>
      <c r="B7" s="75"/>
      <c r="C7" s="76"/>
      <c r="D7" s="435"/>
      <c r="E7" s="480"/>
      <c r="F7" s="481" t="str">
        <f>IF(ISBLANK(E7),"----",E7-D7)</f>
        <v>----</v>
      </c>
      <c r="G7" s="480"/>
      <c r="H7" s="481" t="str">
        <f>IF(OR(G7="Complete",ISBLANK(G7)),"----",G7-$D7)</f>
        <v>----</v>
      </c>
      <c r="I7" s="486"/>
      <c r="J7" s="77" t="str">
        <f>IF(OR(I7="Complete",ISBLANK(I7)),"----",I7-$D7)</f>
        <v>----</v>
      </c>
    </row>
    <row r="8" spans="1:10" ht="15.75" thickBot="1">
      <c r="A8" s="27"/>
      <c r="B8" s="27"/>
      <c r="C8" s="28"/>
      <c r="D8" s="28"/>
      <c r="E8" s="444"/>
      <c r="F8" s="446">
        <f>SUM(F4:F7)</f>
        <v>-12073.5</v>
      </c>
      <c r="G8" s="444"/>
      <c r="H8" s="446">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7" bestFit="1" customWidth="1"/>
    <col min="6" max="6" width="9.140625" style="437"/>
    <col min="7" max="7" width="10.7109375" style="437" bestFit="1" customWidth="1"/>
    <col min="8" max="8" width="9.140625" style="437"/>
    <col min="9" max="9" width="10.7109375" bestFit="1" customWidth="1"/>
  </cols>
  <sheetData>
    <row r="1" spans="1:10" ht="15.75" thickBot="1">
      <c r="A1" s="932" t="s">
        <v>270</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69" thickBot="1">
      <c r="A3" s="940"/>
      <c r="B3" s="942"/>
      <c r="C3" s="942"/>
      <c r="D3" s="954"/>
      <c r="E3" s="465" t="s">
        <v>121</v>
      </c>
      <c r="F3" s="473" t="s">
        <v>113</v>
      </c>
      <c r="G3" s="465" t="s">
        <v>121</v>
      </c>
      <c r="H3" s="473" t="s">
        <v>113</v>
      </c>
      <c r="I3" s="483" t="s">
        <v>121</v>
      </c>
      <c r="J3" s="25" t="s">
        <v>113</v>
      </c>
    </row>
    <row r="4" spans="1:10">
      <c r="A4" s="70">
        <v>44516</v>
      </c>
      <c r="B4" s="71" t="s">
        <v>465</v>
      </c>
      <c r="C4" s="72">
        <v>818380.7</v>
      </c>
      <c r="D4" s="434">
        <f>C4</f>
        <v>818380.7</v>
      </c>
      <c r="E4" s="474">
        <v>822538.46</v>
      </c>
      <c r="F4" s="475">
        <f t="shared" ref="F4:F22" si="0">IF(ISBLANK(E4),"----",E4-D4)</f>
        <v>4157.7600000000093</v>
      </c>
      <c r="G4" s="474" t="s">
        <v>704</v>
      </c>
      <c r="H4" s="475" t="str">
        <f t="shared" ref="H4:H22" si="1">IF(OR(G4="Complete",ISBLANK(G4)),"----",G4-$D4)</f>
        <v>----</v>
      </c>
      <c r="I4" s="484" t="s">
        <v>704</v>
      </c>
      <c r="J4" s="73" t="str">
        <f t="shared" ref="J4:J22" si="2">IF(OR(I4="Complete",ISBLANK(I4)),"----",I4-$D4)</f>
        <v>----</v>
      </c>
    </row>
    <row r="5" spans="1:10">
      <c r="A5" s="88"/>
      <c r="B5" s="101"/>
      <c r="C5" s="82"/>
      <c r="D5" s="436"/>
      <c r="E5" s="476"/>
      <c r="F5" s="477" t="str">
        <f t="shared" si="0"/>
        <v>----</v>
      </c>
      <c r="G5" s="476"/>
      <c r="H5" s="477" t="str">
        <f t="shared" si="1"/>
        <v>----</v>
      </c>
      <c r="I5" s="489"/>
      <c r="J5" s="83" t="str">
        <f t="shared" si="2"/>
        <v>----</v>
      </c>
    </row>
    <row r="6" spans="1:10">
      <c r="A6" s="88"/>
      <c r="B6" s="101"/>
      <c r="C6" s="82"/>
      <c r="D6" s="436"/>
      <c r="E6" s="476"/>
      <c r="F6" s="477" t="str">
        <f t="shared" si="0"/>
        <v>----</v>
      </c>
      <c r="G6" s="476"/>
      <c r="H6" s="477" t="str">
        <f t="shared" si="1"/>
        <v>----</v>
      </c>
      <c r="I6" s="489"/>
      <c r="J6" s="83" t="str">
        <f t="shared" si="2"/>
        <v>----</v>
      </c>
    </row>
    <row r="7" spans="1:10">
      <c r="A7" s="88"/>
      <c r="B7" s="101"/>
      <c r="C7" s="82"/>
      <c r="D7" s="436"/>
      <c r="E7" s="476"/>
      <c r="F7" s="477" t="str">
        <f t="shared" si="0"/>
        <v>----</v>
      </c>
      <c r="G7" s="476"/>
      <c r="H7" s="477" t="str">
        <f t="shared" si="1"/>
        <v>----</v>
      </c>
      <c r="I7" s="489"/>
      <c r="J7" s="83" t="str">
        <f t="shared" si="2"/>
        <v>----</v>
      </c>
    </row>
    <row r="8" spans="1:10">
      <c r="A8" s="88"/>
      <c r="B8" s="101"/>
      <c r="C8" s="82"/>
      <c r="D8" s="436"/>
      <c r="E8" s="476"/>
      <c r="F8" s="477" t="str">
        <f t="shared" si="0"/>
        <v>----</v>
      </c>
      <c r="G8" s="476"/>
      <c r="H8" s="477" t="str">
        <f t="shared" si="1"/>
        <v>----</v>
      </c>
      <c r="I8" s="489"/>
      <c r="J8" s="83" t="str">
        <f t="shared" si="2"/>
        <v>----</v>
      </c>
    </row>
    <row r="9" spans="1:10">
      <c r="A9" s="88"/>
      <c r="B9" s="101"/>
      <c r="C9" s="82"/>
      <c r="D9" s="436"/>
      <c r="E9" s="476"/>
      <c r="F9" s="477" t="str">
        <f t="shared" si="0"/>
        <v>----</v>
      </c>
      <c r="G9" s="476"/>
      <c r="H9" s="477" t="str">
        <f t="shared" si="1"/>
        <v>----</v>
      </c>
      <c r="I9" s="489"/>
      <c r="J9" s="83" t="str">
        <f t="shared" si="2"/>
        <v>----</v>
      </c>
    </row>
    <row r="10" spans="1:10">
      <c r="A10" s="88"/>
      <c r="B10" s="101"/>
      <c r="C10" s="82"/>
      <c r="D10" s="436"/>
      <c r="E10" s="476"/>
      <c r="F10" s="477" t="str">
        <f t="shared" si="0"/>
        <v>----</v>
      </c>
      <c r="G10" s="476"/>
      <c r="H10" s="477" t="str">
        <f t="shared" si="1"/>
        <v>----</v>
      </c>
      <c r="I10" s="489"/>
      <c r="J10" s="83" t="str">
        <f t="shared" si="2"/>
        <v>----</v>
      </c>
    </row>
    <row r="11" spans="1:10">
      <c r="A11" s="88"/>
      <c r="B11" s="101"/>
      <c r="C11" s="82"/>
      <c r="D11" s="436"/>
      <c r="E11" s="476"/>
      <c r="F11" s="477" t="str">
        <f t="shared" si="0"/>
        <v>----</v>
      </c>
      <c r="G11" s="476"/>
      <c r="H11" s="477" t="str">
        <f t="shared" si="1"/>
        <v>----</v>
      </c>
      <c r="I11" s="489"/>
      <c r="J11" s="83" t="str">
        <f t="shared" si="2"/>
        <v>----</v>
      </c>
    </row>
    <row r="12" spans="1:10">
      <c r="A12" s="88"/>
      <c r="B12" s="101"/>
      <c r="C12" s="82"/>
      <c r="D12" s="436"/>
      <c r="E12" s="476"/>
      <c r="F12" s="477" t="str">
        <f t="shared" si="0"/>
        <v>----</v>
      </c>
      <c r="G12" s="476"/>
      <c r="H12" s="477" t="str">
        <f t="shared" si="1"/>
        <v>----</v>
      </c>
      <c r="I12" s="489"/>
      <c r="J12" s="83" t="str">
        <f t="shared" si="2"/>
        <v>----</v>
      </c>
    </row>
    <row r="13" spans="1:10">
      <c r="A13" s="88"/>
      <c r="B13" s="101"/>
      <c r="C13" s="82"/>
      <c r="D13" s="436"/>
      <c r="E13" s="476"/>
      <c r="F13" s="477" t="str">
        <f t="shared" si="0"/>
        <v>----</v>
      </c>
      <c r="G13" s="476"/>
      <c r="H13" s="477" t="str">
        <f t="shared" si="1"/>
        <v>----</v>
      </c>
      <c r="I13" s="489"/>
      <c r="J13" s="83" t="str">
        <f t="shared" si="2"/>
        <v>----</v>
      </c>
    </row>
    <row r="14" spans="1:10">
      <c r="A14" s="88"/>
      <c r="B14" s="101"/>
      <c r="C14" s="82"/>
      <c r="D14" s="436"/>
      <c r="E14" s="476"/>
      <c r="F14" s="477" t="str">
        <f t="shared" si="0"/>
        <v>----</v>
      </c>
      <c r="G14" s="476"/>
      <c r="H14" s="477" t="str">
        <f t="shared" si="1"/>
        <v>----</v>
      </c>
      <c r="I14" s="489"/>
      <c r="J14" s="83" t="str">
        <f t="shared" si="2"/>
        <v>----</v>
      </c>
    </row>
    <row r="15" spans="1:10">
      <c r="A15" s="88"/>
      <c r="B15" s="101"/>
      <c r="C15" s="82"/>
      <c r="D15" s="436"/>
      <c r="E15" s="476"/>
      <c r="F15" s="477" t="str">
        <f t="shared" si="0"/>
        <v>----</v>
      </c>
      <c r="G15" s="476"/>
      <c r="H15" s="477" t="str">
        <f t="shared" si="1"/>
        <v>----</v>
      </c>
      <c r="I15" s="489"/>
      <c r="J15" s="83" t="str">
        <f t="shared" si="2"/>
        <v>----</v>
      </c>
    </row>
    <row r="16" spans="1:10">
      <c r="A16" s="88"/>
      <c r="B16" s="101"/>
      <c r="C16" s="82"/>
      <c r="D16" s="436"/>
      <c r="E16" s="476"/>
      <c r="F16" s="477" t="str">
        <f t="shared" si="0"/>
        <v>----</v>
      </c>
      <c r="G16" s="476"/>
      <c r="H16" s="477" t="str">
        <f t="shared" si="1"/>
        <v>----</v>
      </c>
      <c r="I16" s="489"/>
      <c r="J16" s="83" t="str">
        <f t="shared" si="2"/>
        <v>----</v>
      </c>
    </row>
    <row r="17" spans="1:10">
      <c r="A17" s="88"/>
      <c r="B17" s="101"/>
      <c r="C17" s="82"/>
      <c r="D17" s="436"/>
      <c r="E17" s="476"/>
      <c r="F17" s="477" t="str">
        <f t="shared" si="0"/>
        <v>----</v>
      </c>
      <c r="G17" s="476"/>
      <c r="H17" s="477" t="str">
        <f t="shared" si="1"/>
        <v>----</v>
      </c>
      <c r="I17" s="489"/>
      <c r="J17" s="83" t="str">
        <f t="shared" si="2"/>
        <v>----</v>
      </c>
    </row>
    <row r="18" spans="1:10">
      <c r="A18" s="88"/>
      <c r="B18" s="101"/>
      <c r="C18" s="82"/>
      <c r="D18" s="436"/>
      <c r="E18" s="476"/>
      <c r="F18" s="477" t="str">
        <f t="shared" si="0"/>
        <v>----</v>
      </c>
      <c r="G18" s="476"/>
      <c r="H18" s="477" t="str">
        <f t="shared" si="1"/>
        <v>----</v>
      </c>
      <c r="I18" s="489"/>
      <c r="J18" s="83" t="str">
        <f t="shared" si="2"/>
        <v>----</v>
      </c>
    </row>
    <row r="19" spans="1:10">
      <c r="A19" s="88"/>
      <c r="B19" s="101"/>
      <c r="C19" s="82"/>
      <c r="D19" s="436"/>
      <c r="E19" s="476"/>
      <c r="F19" s="477" t="str">
        <f t="shared" si="0"/>
        <v>----</v>
      </c>
      <c r="G19" s="476"/>
      <c r="H19" s="477" t="str">
        <f t="shared" si="1"/>
        <v>----</v>
      </c>
      <c r="I19" s="489"/>
      <c r="J19" s="83" t="str">
        <f t="shared" si="2"/>
        <v>----</v>
      </c>
    </row>
    <row r="20" spans="1:10">
      <c r="A20" s="88"/>
      <c r="B20" s="101"/>
      <c r="C20" s="82"/>
      <c r="D20" s="436"/>
      <c r="E20" s="476"/>
      <c r="F20" s="477" t="str">
        <f t="shared" si="0"/>
        <v>----</v>
      </c>
      <c r="G20" s="476"/>
      <c r="H20" s="477" t="str">
        <f t="shared" si="1"/>
        <v>----</v>
      </c>
      <c r="I20" s="489"/>
      <c r="J20" s="83" t="str">
        <f t="shared" si="2"/>
        <v>----</v>
      </c>
    </row>
    <row r="21" spans="1:10">
      <c r="A21" s="91"/>
      <c r="B21" s="92"/>
      <c r="C21" s="84"/>
      <c r="D21" s="482"/>
      <c r="E21" s="487"/>
      <c r="F21" s="488" t="str">
        <f t="shared" si="0"/>
        <v>----</v>
      </c>
      <c r="G21" s="487"/>
      <c r="H21" s="488" t="str">
        <f t="shared" si="1"/>
        <v>----</v>
      </c>
      <c r="I21" s="485"/>
      <c r="J21" s="85" t="str">
        <f t="shared" si="2"/>
        <v>----</v>
      </c>
    </row>
    <row r="22" spans="1:10" ht="15.75" thickBot="1">
      <c r="A22" s="74"/>
      <c r="B22" s="75"/>
      <c r="C22" s="76"/>
      <c r="D22" s="435"/>
      <c r="E22" s="480"/>
      <c r="F22" s="481" t="str">
        <f t="shared" si="0"/>
        <v>----</v>
      </c>
      <c r="G22" s="480"/>
      <c r="H22" s="481" t="str">
        <f t="shared" si="1"/>
        <v>----</v>
      </c>
      <c r="I22" s="486"/>
      <c r="J22" s="77" t="str">
        <f t="shared" si="2"/>
        <v>----</v>
      </c>
    </row>
    <row r="23" spans="1:10" ht="15.75" thickBot="1">
      <c r="A23" s="27"/>
      <c r="B23" s="27"/>
      <c r="C23" s="28"/>
      <c r="D23" s="28"/>
      <c r="E23" s="444"/>
      <c r="F23" s="446">
        <f>SUM(F4:F22)</f>
        <v>4157.7600000000093</v>
      </c>
      <c r="G23" s="444"/>
      <c r="H23" s="446">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O25" sqref="O25"/>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7"/>
    <col min="6" max="6" width="11" style="437" customWidth="1"/>
    <col min="7" max="7" width="9.140625" style="437"/>
    <col min="8" max="8" width="11" style="437" customWidth="1"/>
    <col min="10" max="10" width="11" customWidth="1"/>
  </cols>
  <sheetData>
    <row r="1" spans="1:11" ht="15.75" thickBot="1">
      <c r="A1" s="932" t="s">
        <v>223</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43907</v>
      </c>
      <c r="B4" s="71" t="s">
        <v>224</v>
      </c>
      <c r="C4" s="72">
        <v>248501</v>
      </c>
      <c r="D4" s="434">
        <f>147730.97+51069.83</f>
        <v>198800.8</v>
      </c>
      <c r="E4" s="474"/>
      <c r="F4" s="475" t="str">
        <f t="shared" ref="F4:F23" si="0">IF(ISBLANK(E4),"----",E4-D4)</f>
        <v>----</v>
      </c>
      <c r="G4" s="474"/>
      <c r="H4" s="475" t="str">
        <f t="shared" ref="H4:H23" si="1">IF(OR(G4="Complete",ISBLANK(G4)),"----",G4-$D4)</f>
        <v>----</v>
      </c>
      <c r="I4" s="484"/>
      <c r="J4" s="73" t="str">
        <f t="shared" ref="J4:J23" si="2">IF(OR(I4="Complete",ISBLANK(I4)),"----",I4-$D4)</f>
        <v>----</v>
      </c>
    </row>
    <row r="5" spans="1:11">
      <c r="A5" s="88">
        <v>43907</v>
      </c>
      <c r="B5" s="101" t="s">
        <v>225</v>
      </c>
      <c r="C5" s="82">
        <v>246871</v>
      </c>
      <c r="D5" s="436">
        <v>197496.8</v>
      </c>
      <c r="E5" s="476"/>
      <c r="F5" s="477" t="str">
        <f t="shared" si="0"/>
        <v>----</v>
      </c>
      <c r="G5" s="476"/>
      <c r="H5" s="477" t="str">
        <f t="shared" si="1"/>
        <v>----</v>
      </c>
      <c r="I5" s="489"/>
      <c r="J5" s="83" t="str">
        <f t="shared" si="2"/>
        <v>----</v>
      </c>
    </row>
    <row r="6" spans="1:11">
      <c r="A6" s="102">
        <v>44216</v>
      </c>
      <c r="B6" s="103" t="s">
        <v>379</v>
      </c>
      <c r="C6" s="87">
        <v>510741.75</v>
      </c>
      <c r="D6" s="471">
        <v>128401.75</v>
      </c>
      <c r="E6" s="478"/>
      <c r="F6" s="477" t="str">
        <f t="shared" si="0"/>
        <v>----</v>
      </c>
      <c r="G6" s="478"/>
      <c r="H6" s="477" t="str">
        <f t="shared" si="1"/>
        <v>----</v>
      </c>
      <c r="I6" s="491"/>
      <c r="J6" s="83" t="str">
        <f t="shared" si="2"/>
        <v>----</v>
      </c>
    </row>
    <row r="7" spans="1:11">
      <c r="A7" s="224">
        <v>44397</v>
      </c>
      <c r="B7" s="225" t="s">
        <v>441</v>
      </c>
      <c r="C7" s="226">
        <v>1247520.6000000001</v>
      </c>
      <c r="D7" s="568">
        <f>C7</f>
        <v>1247520.6000000001</v>
      </c>
      <c r="E7" s="570"/>
      <c r="F7" s="571" t="str">
        <f t="shared" si="0"/>
        <v>----</v>
      </c>
      <c r="G7" s="570"/>
      <c r="H7" s="571" t="str">
        <f t="shared" si="1"/>
        <v>----</v>
      </c>
      <c r="I7" s="569"/>
      <c r="J7" s="227" t="str">
        <f t="shared" si="2"/>
        <v>----</v>
      </c>
      <c r="K7" t="s">
        <v>415</v>
      </c>
    </row>
    <row r="8" spans="1:11">
      <c r="A8" s="102">
        <v>44580</v>
      </c>
      <c r="B8" s="103" t="s">
        <v>441</v>
      </c>
      <c r="C8" s="87">
        <v>1345519.35</v>
      </c>
      <c r="D8" s="471">
        <f>C8</f>
        <v>1345519.35</v>
      </c>
      <c r="E8" s="478"/>
      <c r="F8" s="477" t="str">
        <f t="shared" si="0"/>
        <v>----</v>
      </c>
      <c r="G8" s="478"/>
      <c r="H8" s="477" t="str">
        <f t="shared" si="1"/>
        <v>----</v>
      </c>
      <c r="I8" s="491"/>
      <c r="J8" s="83" t="str">
        <f t="shared" si="2"/>
        <v>----</v>
      </c>
    </row>
    <row r="9" spans="1:11">
      <c r="A9" s="102"/>
      <c r="B9" s="103"/>
      <c r="C9" s="87"/>
      <c r="D9" s="471"/>
      <c r="E9" s="478"/>
      <c r="F9" s="477" t="str">
        <f t="shared" si="0"/>
        <v>----</v>
      </c>
      <c r="G9" s="478"/>
      <c r="H9" s="477" t="str">
        <f t="shared" si="1"/>
        <v>----</v>
      </c>
      <c r="I9" s="491"/>
      <c r="J9" s="83" t="str">
        <f t="shared" si="2"/>
        <v>----</v>
      </c>
    </row>
    <row r="10" spans="1:11">
      <c r="A10" s="102"/>
      <c r="B10" s="103"/>
      <c r="C10" s="87"/>
      <c r="D10" s="471"/>
      <c r="E10" s="478"/>
      <c r="F10" s="477" t="str">
        <f t="shared" si="0"/>
        <v>----</v>
      </c>
      <c r="G10" s="478"/>
      <c r="H10" s="477" t="str">
        <f t="shared" si="1"/>
        <v>----</v>
      </c>
      <c r="I10" s="491"/>
      <c r="J10" s="83" t="str">
        <f t="shared" si="2"/>
        <v>----</v>
      </c>
    </row>
    <row r="11" spans="1:11">
      <c r="A11" s="102"/>
      <c r="B11" s="103"/>
      <c r="C11" s="87"/>
      <c r="D11" s="471"/>
      <c r="E11" s="478"/>
      <c r="F11" s="477" t="str">
        <f t="shared" si="0"/>
        <v>----</v>
      </c>
      <c r="G11" s="478"/>
      <c r="H11" s="477" t="str">
        <f t="shared" si="1"/>
        <v>----</v>
      </c>
      <c r="I11" s="491"/>
      <c r="J11" s="83" t="str">
        <f t="shared" si="2"/>
        <v>----</v>
      </c>
    </row>
    <row r="12" spans="1:11">
      <c r="A12" s="102"/>
      <c r="B12" s="103"/>
      <c r="C12" s="87"/>
      <c r="D12" s="471"/>
      <c r="E12" s="478"/>
      <c r="F12" s="477" t="str">
        <f t="shared" si="0"/>
        <v>----</v>
      </c>
      <c r="G12" s="478"/>
      <c r="H12" s="477" t="str">
        <f t="shared" si="1"/>
        <v>----</v>
      </c>
      <c r="I12" s="491"/>
      <c r="J12" s="83" t="str">
        <f t="shared" si="2"/>
        <v>----</v>
      </c>
    </row>
    <row r="13" spans="1:11">
      <c r="A13" s="102"/>
      <c r="B13" s="103"/>
      <c r="C13" s="87"/>
      <c r="D13" s="471"/>
      <c r="E13" s="478"/>
      <c r="F13" s="477" t="str">
        <f t="shared" si="0"/>
        <v>----</v>
      </c>
      <c r="G13" s="478"/>
      <c r="H13" s="477" t="str">
        <f t="shared" si="1"/>
        <v>----</v>
      </c>
      <c r="I13" s="491"/>
      <c r="J13" s="83" t="str">
        <f t="shared" si="2"/>
        <v>----</v>
      </c>
    </row>
    <row r="14" spans="1:11">
      <c r="A14" s="102"/>
      <c r="B14" s="103"/>
      <c r="C14" s="87"/>
      <c r="D14" s="471"/>
      <c r="E14" s="478"/>
      <c r="F14" s="477" t="str">
        <f t="shared" si="0"/>
        <v>----</v>
      </c>
      <c r="G14" s="478"/>
      <c r="H14" s="477" t="str">
        <f t="shared" si="1"/>
        <v>----</v>
      </c>
      <c r="I14" s="491"/>
      <c r="J14" s="83" t="str">
        <f t="shared" si="2"/>
        <v>----</v>
      </c>
    </row>
    <row r="15" spans="1:11">
      <c r="A15" s="102"/>
      <c r="B15" s="103"/>
      <c r="C15" s="87"/>
      <c r="D15" s="471"/>
      <c r="E15" s="478"/>
      <c r="F15" s="477" t="str">
        <f t="shared" si="0"/>
        <v>----</v>
      </c>
      <c r="G15" s="478"/>
      <c r="H15" s="477" t="str">
        <f t="shared" si="1"/>
        <v>----</v>
      </c>
      <c r="I15" s="491"/>
      <c r="J15" s="83" t="str">
        <f t="shared" si="2"/>
        <v>----</v>
      </c>
    </row>
    <row r="16" spans="1:11">
      <c r="A16" s="102"/>
      <c r="B16" s="103"/>
      <c r="C16" s="87"/>
      <c r="D16" s="471"/>
      <c r="E16" s="478"/>
      <c r="F16" s="477" t="str">
        <f t="shared" si="0"/>
        <v>----</v>
      </c>
      <c r="G16" s="478"/>
      <c r="H16" s="477" t="str">
        <f t="shared" si="1"/>
        <v>----</v>
      </c>
      <c r="I16" s="491"/>
      <c r="J16" s="83" t="str">
        <f t="shared" si="2"/>
        <v>----</v>
      </c>
    </row>
    <row r="17" spans="1:10">
      <c r="A17" s="102"/>
      <c r="B17" s="103"/>
      <c r="C17" s="87"/>
      <c r="D17" s="471"/>
      <c r="E17" s="478"/>
      <c r="F17" s="477" t="str">
        <f t="shared" si="0"/>
        <v>----</v>
      </c>
      <c r="G17" s="478"/>
      <c r="H17" s="477" t="str">
        <f t="shared" si="1"/>
        <v>----</v>
      </c>
      <c r="I17" s="491"/>
      <c r="J17" s="83" t="str">
        <f t="shared" si="2"/>
        <v>----</v>
      </c>
    </row>
    <row r="18" spans="1:10">
      <c r="A18" s="102"/>
      <c r="B18" s="103"/>
      <c r="C18" s="87"/>
      <c r="D18" s="471"/>
      <c r="E18" s="478"/>
      <c r="F18" s="477" t="str">
        <f t="shared" si="0"/>
        <v>----</v>
      </c>
      <c r="G18" s="478"/>
      <c r="H18" s="477" t="str">
        <f t="shared" si="1"/>
        <v>----</v>
      </c>
      <c r="I18" s="491"/>
      <c r="J18" s="83" t="str">
        <f t="shared" si="2"/>
        <v>----</v>
      </c>
    </row>
    <row r="19" spans="1:10">
      <c r="A19" s="102"/>
      <c r="B19" s="103"/>
      <c r="C19" s="87"/>
      <c r="D19" s="471"/>
      <c r="E19" s="478"/>
      <c r="F19" s="477" t="str">
        <f t="shared" si="0"/>
        <v>----</v>
      </c>
      <c r="G19" s="478"/>
      <c r="H19" s="477" t="str">
        <f t="shared" si="1"/>
        <v>----</v>
      </c>
      <c r="I19" s="491"/>
      <c r="J19" s="83" t="str">
        <f t="shared" si="2"/>
        <v>----</v>
      </c>
    </row>
    <row r="20" spans="1:10">
      <c r="A20" s="102"/>
      <c r="B20" s="103"/>
      <c r="C20" s="87"/>
      <c r="D20" s="471"/>
      <c r="E20" s="478"/>
      <c r="F20" s="477" t="str">
        <f t="shared" si="0"/>
        <v>----</v>
      </c>
      <c r="G20" s="478"/>
      <c r="H20" s="477" t="str">
        <f t="shared" si="1"/>
        <v>----</v>
      </c>
      <c r="I20" s="491"/>
      <c r="J20" s="83" t="str">
        <f t="shared" si="2"/>
        <v>----</v>
      </c>
    </row>
    <row r="21" spans="1:10">
      <c r="A21" s="102"/>
      <c r="B21" s="103"/>
      <c r="C21" s="87"/>
      <c r="D21" s="471"/>
      <c r="E21" s="478"/>
      <c r="F21" s="477" t="str">
        <f t="shared" si="0"/>
        <v>----</v>
      </c>
      <c r="G21" s="478"/>
      <c r="H21" s="477" t="str">
        <f t="shared" si="1"/>
        <v>----</v>
      </c>
      <c r="I21" s="491"/>
      <c r="J21" s="83" t="str">
        <f t="shared" si="2"/>
        <v>----</v>
      </c>
    </row>
    <row r="22" spans="1:10">
      <c r="A22" s="116"/>
      <c r="B22" s="117"/>
      <c r="C22" s="118"/>
      <c r="D22" s="472"/>
      <c r="E22" s="479"/>
      <c r="F22" s="477" t="str">
        <f t="shared" si="0"/>
        <v>----</v>
      </c>
      <c r="G22" s="479"/>
      <c r="H22" s="477" t="str">
        <f t="shared" si="1"/>
        <v>----</v>
      </c>
      <c r="I22" s="493"/>
      <c r="J22" s="83" t="str">
        <f t="shared" si="2"/>
        <v>----</v>
      </c>
    </row>
    <row r="23" spans="1:10" ht="15.75" thickBot="1">
      <c r="A23" s="74"/>
      <c r="B23" s="75"/>
      <c r="C23" s="76"/>
      <c r="D23" s="435"/>
      <c r="E23" s="480"/>
      <c r="F23" s="481" t="str">
        <f t="shared" si="0"/>
        <v>----</v>
      </c>
      <c r="G23" s="480"/>
      <c r="H23" s="481" t="str">
        <f t="shared" si="1"/>
        <v>----</v>
      </c>
      <c r="I23" s="486"/>
      <c r="J23" s="77" t="str">
        <f t="shared" si="2"/>
        <v>----</v>
      </c>
    </row>
    <row r="24" spans="1:10" ht="15.75" thickBot="1">
      <c r="A24" s="27"/>
      <c r="B24" s="27"/>
      <c r="C24" s="28"/>
      <c r="D24" s="28"/>
      <c r="E24" s="444"/>
      <c r="F24" s="446">
        <f>SUM(F4:F23)</f>
        <v>0</v>
      </c>
      <c r="G24" s="444"/>
      <c r="H24" s="446">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K25"/>
  <sheetViews>
    <sheetView workbookViewId="0">
      <selection activeCell="I8" sqref="I8"/>
    </sheetView>
  </sheetViews>
  <sheetFormatPr defaultRowHeight="15"/>
  <cols>
    <col min="2" max="2" width="22.85546875" bestFit="1" customWidth="1"/>
    <col min="3" max="4" width="12" bestFit="1" customWidth="1"/>
    <col min="5" max="5" width="10.7109375" style="437" bestFit="1" customWidth="1"/>
    <col min="6" max="6" width="13.28515625" style="437" customWidth="1"/>
    <col min="7" max="7" width="12" style="437" bestFit="1" customWidth="1"/>
    <col min="8" max="8" width="13.28515625" style="437" customWidth="1"/>
    <col min="9" max="9" width="10.7109375" bestFit="1" customWidth="1"/>
    <col min="10" max="10" width="13.28515625" customWidth="1"/>
  </cols>
  <sheetData>
    <row r="1" spans="1:11" ht="15.75" thickBot="1">
      <c r="A1" s="932" t="s">
        <v>271</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44089</v>
      </c>
      <c r="B4" s="71" t="s">
        <v>304</v>
      </c>
      <c r="C4" s="72">
        <v>919799.95</v>
      </c>
      <c r="D4" s="434">
        <f>C4</f>
        <v>919799.95</v>
      </c>
      <c r="E4" s="474">
        <v>802676.22</v>
      </c>
      <c r="F4" s="475">
        <f t="shared" ref="F4:F24" si="0">IF(ISBLANK(E4),"----",E4-D4)</f>
        <v>-117123.72999999998</v>
      </c>
      <c r="G4" s="474" t="s">
        <v>704</v>
      </c>
      <c r="H4" s="475" t="str">
        <f t="shared" ref="H4:H24" si="1">IF(OR(G4="Complete",ISBLANK(G4)),"----",G4-$D4)</f>
        <v>----</v>
      </c>
      <c r="I4" s="484" t="s">
        <v>704</v>
      </c>
      <c r="J4" s="73" t="str">
        <f t="shared" ref="J4:J24" si="2">IF(OR(I4="Complete",ISBLANK(I4)),"----",I4-$D4)</f>
        <v>----</v>
      </c>
    </row>
    <row r="5" spans="1:11">
      <c r="A5" s="88">
        <v>44306</v>
      </c>
      <c r="B5" s="101" t="s">
        <v>424</v>
      </c>
      <c r="C5" s="82">
        <v>440634.6</v>
      </c>
      <c r="D5" s="436">
        <v>352507.68</v>
      </c>
      <c r="E5" s="476"/>
      <c r="F5" s="477" t="str">
        <f t="shared" si="0"/>
        <v>----</v>
      </c>
      <c r="G5" s="476"/>
      <c r="H5" s="477" t="str">
        <f t="shared" si="1"/>
        <v>----</v>
      </c>
      <c r="I5" s="489"/>
      <c r="J5" s="83" t="str">
        <f t="shared" si="2"/>
        <v>----</v>
      </c>
    </row>
    <row r="6" spans="1:11">
      <c r="A6" s="102">
        <v>44397</v>
      </c>
      <c r="B6" s="103" t="s">
        <v>442</v>
      </c>
      <c r="C6" s="87">
        <v>2032576.17</v>
      </c>
      <c r="D6" s="471">
        <v>1076726.17</v>
      </c>
      <c r="E6" s="478"/>
      <c r="F6" s="490" t="str">
        <f t="shared" si="0"/>
        <v>----</v>
      </c>
      <c r="G6" s="478">
        <f>1941271.2-955850</f>
        <v>985421.2</v>
      </c>
      <c r="H6" s="490">
        <f t="shared" si="1"/>
        <v>-91304.969999999972</v>
      </c>
      <c r="I6" s="491" t="s">
        <v>704</v>
      </c>
      <c r="J6" s="115" t="str">
        <f t="shared" si="2"/>
        <v>----</v>
      </c>
      <c r="K6" s="796" t="s">
        <v>810</v>
      </c>
    </row>
    <row r="7" spans="1:11">
      <c r="A7" s="102">
        <v>44425</v>
      </c>
      <c r="B7" s="103" t="s">
        <v>445</v>
      </c>
      <c r="C7" s="87">
        <v>2603442.42</v>
      </c>
      <c r="D7" s="471">
        <v>1103442.3999999999</v>
      </c>
      <c r="E7" s="478"/>
      <c r="F7" s="490" t="str">
        <f t="shared" si="0"/>
        <v>----</v>
      </c>
      <c r="G7" s="478">
        <f>2553990.14-1500000</f>
        <v>1053990.1400000001</v>
      </c>
      <c r="H7" s="490">
        <f t="shared" si="1"/>
        <v>-49452.259999999776</v>
      </c>
      <c r="I7" s="491" t="s">
        <v>704</v>
      </c>
      <c r="J7" s="115" t="str">
        <f t="shared" si="2"/>
        <v>----</v>
      </c>
      <c r="K7" t="s">
        <v>446</v>
      </c>
    </row>
    <row r="8" spans="1:11">
      <c r="A8" s="102">
        <v>44460</v>
      </c>
      <c r="B8" s="103" t="s">
        <v>456</v>
      </c>
      <c r="C8" s="87">
        <v>621156.1</v>
      </c>
      <c r="D8" s="471">
        <v>124231.22</v>
      </c>
      <c r="E8" s="478"/>
      <c r="F8" s="490" t="str">
        <f t="shared" si="0"/>
        <v>----</v>
      </c>
      <c r="G8" s="478"/>
      <c r="H8" s="490" t="str">
        <f t="shared" si="1"/>
        <v>----</v>
      </c>
      <c r="I8" s="491"/>
      <c r="J8" s="115" t="str">
        <f t="shared" si="2"/>
        <v>----</v>
      </c>
    </row>
    <row r="9" spans="1:11">
      <c r="A9" s="102">
        <v>44880</v>
      </c>
      <c r="B9" s="103" t="s">
        <v>594</v>
      </c>
      <c r="C9" s="87">
        <v>2462334.34</v>
      </c>
      <c r="D9" s="471">
        <v>1462334.34</v>
      </c>
      <c r="E9" s="478"/>
      <c r="F9" s="490" t="str">
        <f t="shared" si="0"/>
        <v>----</v>
      </c>
      <c r="G9" s="478"/>
      <c r="H9" s="490" t="str">
        <f t="shared" si="1"/>
        <v>----</v>
      </c>
      <c r="I9" s="491"/>
      <c r="J9" s="115" t="str">
        <f t="shared" si="2"/>
        <v>----</v>
      </c>
      <c r="K9" t="s">
        <v>595</v>
      </c>
    </row>
    <row r="10" spans="1:11">
      <c r="A10" s="102"/>
      <c r="B10" s="103"/>
      <c r="C10" s="87"/>
      <c r="D10" s="471"/>
      <c r="E10" s="478"/>
      <c r="F10" s="490" t="str">
        <f t="shared" si="0"/>
        <v>----</v>
      </c>
      <c r="G10" s="478"/>
      <c r="H10" s="490" t="str">
        <f t="shared" si="1"/>
        <v>----</v>
      </c>
      <c r="I10" s="491"/>
      <c r="J10" s="115" t="str">
        <f t="shared" si="2"/>
        <v>----</v>
      </c>
    </row>
    <row r="11" spans="1:11">
      <c r="A11" s="102"/>
      <c r="B11" s="103"/>
      <c r="C11" s="87"/>
      <c r="D11" s="471"/>
      <c r="E11" s="478"/>
      <c r="F11" s="490" t="str">
        <f t="shared" si="0"/>
        <v>----</v>
      </c>
      <c r="G11" s="478"/>
      <c r="H11" s="490" t="str">
        <f t="shared" si="1"/>
        <v>----</v>
      </c>
      <c r="I11" s="491"/>
      <c r="J11" s="115" t="str">
        <f t="shared" si="2"/>
        <v>----</v>
      </c>
    </row>
    <row r="12" spans="1:11">
      <c r="A12" s="102"/>
      <c r="B12" s="103"/>
      <c r="C12" s="87"/>
      <c r="D12" s="471"/>
      <c r="E12" s="478"/>
      <c r="F12" s="490" t="str">
        <f t="shared" si="0"/>
        <v>----</v>
      </c>
      <c r="G12" s="478"/>
      <c r="H12" s="490" t="str">
        <f t="shared" si="1"/>
        <v>----</v>
      </c>
      <c r="I12" s="491"/>
      <c r="J12" s="115" t="str">
        <f t="shared" si="2"/>
        <v>----</v>
      </c>
    </row>
    <row r="13" spans="1:11">
      <c r="A13" s="102"/>
      <c r="B13" s="103"/>
      <c r="C13" s="87"/>
      <c r="D13" s="471"/>
      <c r="E13" s="478"/>
      <c r="F13" s="490" t="str">
        <f t="shared" si="0"/>
        <v>----</v>
      </c>
      <c r="G13" s="478"/>
      <c r="H13" s="490" t="str">
        <f t="shared" si="1"/>
        <v>----</v>
      </c>
      <c r="I13" s="491"/>
      <c r="J13" s="115" t="str">
        <f t="shared" si="2"/>
        <v>----</v>
      </c>
    </row>
    <row r="14" spans="1:11">
      <c r="A14" s="102"/>
      <c r="B14" s="103"/>
      <c r="C14" s="87"/>
      <c r="D14" s="471"/>
      <c r="E14" s="478"/>
      <c r="F14" s="490" t="str">
        <f t="shared" si="0"/>
        <v>----</v>
      </c>
      <c r="G14" s="478"/>
      <c r="H14" s="490" t="str">
        <f t="shared" si="1"/>
        <v>----</v>
      </c>
      <c r="I14" s="491"/>
      <c r="J14" s="115" t="str">
        <f t="shared" si="2"/>
        <v>----</v>
      </c>
    </row>
    <row r="15" spans="1:11">
      <c r="A15" s="102"/>
      <c r="B15" s="103"/>
      <c r="C15" s="87"/>
      <c r="D15" s="471"/>
      <c r="E15" s="478"/>
      <c r="F15" s="490" t="str">
        <f t="shared" si="0"/>
        <v>----</v>
      </c>
      <c r="G15" s="478"/>
      <c r="H15" s="490" t="str">
        <f t="shared" si="1"/>
        <v>----</v>
      </c>
      <c r="I15" s="491"/>
      <c r="J15" s="115" t="str">
        <f t="shared" si="2"/>
        <v>----</v>
      </c>
    </row>
    <row r="16" spans="1:11">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02"/>
      <c r="B18" s="103"/>
      <c r="C18" s="87"/>
      <c r="D18" s="471"/>
      <c r="E18" s="478"/>
      <c r="F18" s="490" t="str">
        <f t="shared" si="0"/>
        <v>----</v>
      </c>
      <c r="G18" s="478"/>
      <c r="H18" s="490" t="str">
        <f t="shared" si="1"/>
        <v>----</v>
      </c>
      <c r="I18" s="491"/>
      <c r="J18" s="115" t="str">
        <f t="shared" si="2"/>
        <v>----</v>
      </c>
    </row>
    <row r="19" spans="1:10">
      <c r="A19" s="102"/>
      <c r="B19" s="103"/>
      <c r="C19" s="87"/>
      <c r="D19" s="471"/>
      <c r="E19" s="478"/>
      <c r="F19" s="490" t="str">
        <f t="shared" si="0"/>
        <v>----</v>
      </c>
      <c r="G19" s="478"/>
      <c r="H19" s="490" t="str">
        <f t="shared" si="1"/>
        <v>----</v>
      </c>
      <c r="I19" s="491"/>
      <c r="J19" s="115" t="str">
        <f t="shared" si="2"/>
        <v>----</v>
      </c>
    </row>
    <row r="20" spans="1:10">
      <c r="A20" s="102"/>
      <c r="B20" s="103"/>
      <c r="C20" s="87"/>
      <c r="D20" s="471"/>
      <c r="E20" s="478"/>
      <c r="F20" s="490" t="str">
        <f t="shared" si="0"/>
        <v>----</v>
      </c>
      <c r="G20" s="478"/>
      <c r="H20" s="490" t="str">
        <f t="shared" si="1"/>
        <v>----</v>
      </c>
      <c r="I20" s="491"/>
      <c r="J20" s="115" t="str">
        <f t="shared" si="2"/>
        <v>----</v>
      </c>
    </row>
    <row r="21" spans="1:10">
      <c r="A21" s="102"/>
      <c r="B21" s="103"/>
      <c r="C21" s="87"/>
      <c r="D21" s="471"/>
      <c r="E21" s="478"/>
      <c r="F21" s="490" t="str">
        <f t="shared" si="0"/>
        <v>----</v>
      </c>
      <c r="G21" s="478"/>
      <c r="H21" s="490" t="str">
        <f t="shared" si="1"/>
        <v>----</v>
      </c>
      <c r="I21" s="491"/>
      <c r="J21" s="115" t="str">
        <f t="shared" si="2"/>
        <v>----</v>
      </c>
    </row>
    <row r="22" spans="1:10">
      <c r="A22" s="102"/>
      <c r="B22" s="103"/>
      <c r="C22" s="87"/>
      <c r="D22" s="471"/>
      <c r="E22" s="478"/>
      <c r="F22" s="490" t="str">
        <f t="shared" si="0"/>
        <v>----</v>
      </c>
      <c r="G22" s="478"/>
      <c r="H22" s="490" t="str">
        <f t="shared" si="1"/>
        <v>----</v>
      </c>
      <c r="I22" s="491"/>
      <c r="J22" s="115" t="str">
        <f t="shared" si="2"/>
        <v>----</v>
      </c>
    </row>
    <row r="23" spans="1:10">
      <c r="A23" s="116"/>
      <c r="B23" s="117"/>
      <c r="C23" s="118"/>
      <c r="D23" s="472"/>
      <c r="E23" s="479"/>
      <c r="F23" s="492" t="str">
        <f t="shared" si="0"/>
        <v>----</v>
      </c>
      <c r="G23" s="479"/>
      <c r="H23" s="492" t="str">
        <f t="shared" si="1"/>
        <v>----</v>
      </c>
      <c r="I23" s="493"/>
      <c r="J23" s="119" t="str">
        <f t="shared" si="2"/>
        <v>----</v>
      </c>
    </row>
    <row r="24" spans="1:10" ht="15.75" thickBot="1">
      <c r="A24" s="74"/>
      <c r="B24" s="75"/>
      <c r="C24" s="76"/>
      <c r="D24" s="435"/>
      <c r="E24" s="480"/>
      <c r="F24" s="481" t="str">
        <f t="shared" si="0"/>
        <v>----</v>
      </c>
      <c r="G24" s="480"/>
      <c r="H24" s="481" t="str">
        <f t="shared" si="1"/>
        <v>----</v>
      </c>
      <c r="I24" s="486"/>
      <c r="J24" s="77" t="str">
        <f t="shared" si="2"/>
        <v>----</v>
      </c>
    </row>
    <row r="25" spans="1:10" ht="15.75" thickBot="1">
      <c r="A25" s="27"/>
      <c r="B25" s="27"/>
      <c r="C25" s="28"/>
      <c r="D25" s="28"/>
      <c r="E25" s="444"/>
      <c r="F25" s="446">
        <f>SUM(F4:F24)</f>
        <v>-117123.72999999998</v>
      </c>
      <c r="G25" s="444"/>
      <c r="H25" s="446">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7"/>
    <col min="7" max="7" width="10.7109375" style="437" bestFit="1" customWidth="1"/>
    <col min="8" max="8" width="9.5703125" style="437" bestFit="1" customWidth="1"/>
  </cols>
  <sheetData>
    <row r="1" spans="1:10" ht="15.75" thickBot="1">
      <c r="A1" s="932" t="s">
        <v>272</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69" thickBot="1">
      <c r="A3" s="940"/>
      <c r="B3" s="942"/>
      <c r="C3" s="942"/>
      <c r="D3" s="954"/>
      <c r="E3" s="465" t="s">
        <v>121</v>
      </c>
      <c r="F3" s="473" t="s">
        <v>113</v>
      </c>
      <c r="G3" s="465" t="s">
        <v>121</v>
      </c>
      <c r="H3" s="473" t="s">
        <v>113</v>
      </c>
      <c r="I3" s="483" t="s">
        <v>121</v>
      </c>
      <c r="J3" s="25" t="s">
        <v>113</v>
      </c>
    </row>
    <row r="4" spans="1:10">
      <c r="A4" s="70">
        <v>44089</v>
      </c>
      <c r="B4" s="71" t="s">
        <v>305</v>
      </c>
      <c r="C4" s="72">
        <v>685720.75</v>
      </c>
      <c r="D4" s="434">
        <f>C4</f>
        <v>685720.75</v>
      </c>
      <c r="E4" s="474"/>
      <c r="F4" s="475" t="str">
        <f t="shared" ref="F4:F24" si="0">IF(ISBLANK(E4),"----",E4-D4)</f>
        <v>----</v>
      </c>
      <c r="G4" s="474">
        <v>681296.11</v>
      </c>
      <c r="H4" s="475">
        <f t="shared" ref="H4:H24" si="1">IF(OR(G4="Complete",ISBLANK(G4)),"----",G4-$D4)</f>
        <v>-4424.640000000014</v>
      </c>
      <c r="I4" s="484" t="s">
        <v>704</v>
      </c>
      <c r="J4" s="73" t="str">
        <f t="shared" ref="J4:J24" si="2">IF(OR(I4="Complete",ISBLANK(I4)),"----",I4-$D4)</f>
        <v>----</v>
      </c>
    </row>
    <row r="5" spans="1:10">
      <c r="A5" s="88">
        <v>44425</v>
      </c>
      <c r="B5" s="101" t="s">
        <v>447</v>
      </c>
      <c r="C5" s="82">
        <v>625503.4</v>
      </c>
      <c r="D5" s="436">
        <f>C5</f>
        <v>625503.4</v>
      </c>
      <c r="E5" s="476"/>
      <c r="F5" s="477" t="str">
        <f t="shared" si="0"/>
        <v>----</v>
      </c>
      <c r="G5" s="476">
        <v>620242.5</v>
      </c>
      <c r="H5" s="477">
        <f t="shared" si="1"/>
        <v>-5260.9000000000233</v>
      </c>
      <c r="I5" s="489" t="s">
        <v>704</v>
      </c>
      <c r="J5" s="83" t="str">
        <f t="shared" si="2"/>
        <v>----</v>
      </c>
    </row>
    <row r="6" spans="1:10">
      <c r="A6" s="102">
        <v>45216</v>
      </c>
      <c r="B6" s="103" t="s">
        <v>664</v>
      </c>
      <c r="C6" s="373">
        <v>2878038.12</v>
      </c>
      <c r="D6" s="572">
        <f>C6</f>
        <v>2878038.12</v>
      </c>
      <c r="E6" s="478"/>
      <c r="F6" s="490" t="str">
        <f t="shared" si="0"/>
        <v>----</v>
      </c>
      <c r="G6" s="478"/>
      <c r="H6" s="490" t="str">
        <f t="shared" si="1"/>
        <v>----</v>
      </c>
      <c r="I6" s="491"/>
      <c r="J6" s="115" t="str">
        <f t="shared" si="2"/>
        <v>----</v>
      </c>
    </row>
    <row r="7" spans="1:10">
      <c r="A7" s="102"/>
      <c r="B7" s="103"/>
      <c r="C7" s="87"/>
      <c r="D7" s="471"/>
      <c r="E7" s="478"/>
      <c r="F7" s="490" t="str">
        <f t="shared" si="0"/>
        <v>----</v>
      </c>
      <c r="G7" s="478"/>
      <c r="H7" s="490" t="str">
        <f t="shared" si="1"/>
        <v>----</v>
      </c>
      <c r="I7" s="491"/>
      <c r="J7" s="115" t="str">
        <f t="shared" si="2"/>
        <v>----</v>
      </c>
    </row>
    <row r="8" spans="1:10">
      <c r="A8" s="102"/>
      <c r="B8" s="103"/>
      <c r="C8" s="87"/>
      <c r="D8" s="471"/>
      <c r="E8" s="478"/>
      <c r="F8" s="490" t="str">
        <f t="shared" si="0"/>
        <v>----</v>
      </c>
      <c r="G8" s="478"/>
      <c r="H8" s="490" t="str">
        <f t="shared" si="1"/>
        <v>----</v>
      </c>
      <c r="I8" s="491"/>
      <c r="J8" s="115" t="str">
        <f t="shared" si="2"/>
        <v>----</v>
      </c>
    </row>
    <row r="9" spans="1:10">
      <c r="A9" s="102"/>
      <c r="B9" s="103"/>
      <c r="C9" s="87"/>
      <c r="D9" s="471"/>
      <c r="E9" s="478"/>
      <c r="F9" s="490" t="str">
        <f t="shared" si="0"/>
        <v>----</v>
      </c>
      <c r="G9" s="478"/>
      <c r="H9" s="490" t="str">
        <f t="shared" si="1"/>
        <v>----</v>
      </c>
      <c r="I9" s="491"/>
      <c r="J9" s="115" t="str">
        <f t="shared" si="2"/>
        <v>----</v>
      </c>
    </row>
    <row r="10" spans="1:10">
      <c r="A10" s="102"/>
      <c r="B10" s="103"/>
      <c r="C10" s="87"/>
      <c r="D10" s="471"/>
      <c r="E10" s="478"/>
      <c r="F10" s="490" t="str">
        <f t="shared" si="0"/>
        <v>----</v>
      </c>
      <c r="G10" s="478"/>
      <c r="H10" s="490" t="str">
        <f t="shared" si="1"/>
        <v>----</v>
      </c>
      <c r="I10" s="491"/>
      <c r="J10" s="115" t="str">
        <f t="shared" si="2"/>
        <v>----</v>
      </c>
    </row>
    <row r="11" spans="1:10">
      <c r="A11" s="102"/>
      <c r="B11" s="103"/>
      <c r="C11" s="87"/>
      <c r="D11" s="471"/>
      <c r="E11" s="478"/>
      <c r="F11" s="490" t="str">
        <f t="shared" si="0"/>
        <v>----</v>
      </c>
      <c r="G11" s="478"/>
      <c r="H11" s="490" t="str">
        <f t="shared" si="1"/>
        <v>----</v>
      </c>
      <c r="I11" s="491"/>
      <c r="J11" s="115" t="str">
        <f t="shared" si="2"/>
        <v>----</v>
      </c>
    </row>
    <row r="12" spans="1:10">
      <c r="A12" s="102"/>
      <c r="B12" s="103"/>
      <c r="C12" s="87"/>
      <c r="D12" s="471"/>
      <c r="E12" s="478"/>
      <c r="F12" s="490" t="str">
        <f t="shared" si="0"/>
        <v>----</v>
      </c>
      <c r="G12" s="478"/>
      <c r="H12" s="490" t="str">
        <f t="shared" si="1"/>
        <v>----</v>
      </c>
      <c r="I12" s="491"/>
      <c r="J12" s="115" t="str">
        <f t="shared" si="2"/>
        <v>----</v>
      </c>
    </row>
    <row r="13" spans="1:10">
      <c r="A13" s="102"/>
      <c r="B13" s="103"/>
      <c r="C13" s="87"/>
      <c r="D13" s="471"/>
      <c r="E13" s="478"/>
      <c r="F13" s="490" t="str">
        <f t="shared" si="0"/>
        <v>----</v>
      </c>
      <c r="G13" s="478"/>
      <c r="H13" s="490" t="str">
        <f t="shared" si="1"/>
        <v>----</v>
      </c>
      <c r="I13" s="491"/>
      <c r="J13" s="115" t="str">
        <f t="shared" si="2"/>
        <v>----</v>
      </c>
    </row>
    <row r="14" spans="1:10">
      <c r="A14" s="102"/>
      <c r="B14" s="103"/>
      <c r="C14" s="87"/>
      <c r="D14" s="471"/>
      <c r="E14" s="478"/>
      <c r="F14" s="490" t="str">
        <f t="shared" si="0"/>
        <v>----</v>
      </c>
      <c r="G14" s="478"/>
      <c r="H14" s="490" t="str">
        <f t="shared" si="1"/>
        <v>----</v>
      </c>
      <c r="I14" s="491"/>
      <c r="J14" s="115" t="str">
        <f t="shared" si="2"/>
        <v>----</v>
      </c>
    </row>
    <row r="15" spans="1:10">
      <c r="A15" s="102"/>
      <c r="B15" s="103"/>
      <c r="C15" s="87"/>
      <c r="D15" s="471"/>
      <c r="E15" s="478"/>
      <c r="F15" s="490" t="str">
        <f t="shared" si="0"/>
        <v>----</v>
      </c>
      <c r="G15" s="478"/>
      <c r="H15" s="490" t="str">
        <f t="shared" si="1"/>
        <v>----</v>
      </c>
      <c r="I15" s="491"/>
      <c r="J15" s="115" t="str">
        <f t="shared" si="2"/>
        <v>----</v>
      </c>
    </row>
    <row r="16" spans="1:10">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02"/>
      <c r="B18" s="103"/>
      <c r="C18" s="87"/>
      <c r="D18" s="471"/>
      <c r="E18" s="478"/>
      <c r="F18" s="490" t="str">
        <f t="shared" si="0"/>
        <v>----</v>
      </c>
      <c r="G18" s="478"/>
      <c r="H18" s="490" t="str">
        <f t="shared" si="1"/>
        <v>----</v>
      </c>
      <c r="I18" s="491"/>
      <c r="J18" s="115" t="str">
        <f t="shared" si="2"/>
        <v>----</v>
      </c>
    </row>
    <row r="19" spans="1:10">
      <c r="A19" s="102"/>
      <c r="B19" s="103"/>
      <c r="C19" s="87"/>
      <c r="D19" s="471"/>
      <c r="E19" s="478"/>
      <c r="F19" s="490" t="str">
        <f t="shared" si="0"/>
        <v>----</v>
      </c>
      <c r="G19" s="478"/>
      <c r="H19" s="490" t="str">
        <f t="shared" si="1"/>
        <v>----</v>
      </c>
      <c r="I19" s="491"/>
      <c r="J19" s="115" t="str">
        <f t="shared" si="2"/>
        <v>----</v>
      </c>
    </row>
    <row r="20" spans="1:10">
      <c r="A20" s="102"/>
      <c r="B20" s="103"/>
      <c r="C20" s="87"/>
      <c r="D20" s="471"/>
      <c r="E20" s="478"/>
      <c r="F20" s="490" t="str">
        <f t="shared" si="0"/>
        <v>----</v>
      </c>
      <c r="G20" s="478"/>
      <c r="H20" s="490" t="str">
        <f t="shared" si="1"/>
        <v>----</v>
      </c>
      <c r="I20" s="491"/>
      <c r="J20" s="115" t="str">
        <f t="shared" si="2"/>
        <v>----</v>
      </c>
    </row>
    <row r="21" spans="1:10">
      <c r="A21" s="102"/>
      <c r="B21" s="103"/>
      <c r="C21" s="87"/>
      <c r="D21" s="471"/>
      <c r="E21" s="478"/>
      <c r="F21" s="490" t="str">
        <f t="shared" si="0"/>
        <v>----</v>
      </c>
      <c r="G21" s="478"/>
      <c r="H21" s="490" t="str">
        <f t="shared" si="1"/>
        <v>----</v>
      </c>
      <c r="I21" s="491"/>
      <c r="J21" s="115" t="str">
        <f t="shared" si="2"/>
        <v>----</v>
      </c>
    </row>
    <row r="22" spans="1:10">
      <c r="A22" s="102"/>
      <c r="B22" s="103"/>
      <c r="C22" s="87"/>
      <c r="D22" s="471"/>
      <c r="E22" s="478"/>
      <c r="F22" s="490" t="str">
        <f t="shared" si="0"/>
        <v>----</v>
      </c>
      <c r="G22" s="478"/>
      <c r="H22" s="490" t="str">
        <f t="shared" si="1"/>
        <v>----</v>
      </c>
      <c r="I22" s="491"/>
      <c r="J22" s="115" t="str">
        <f t="shared" si="2"/>
        <v>----</v>
      </c>
    </row>
    <row r="23" spans="1:10">
      <c r="A23" s="91"/>
      <c r="B23" s="92"/>
      <c r="C23" s="84"/>
      <c r="D23" s="482"/>
      <c r="E23" s="487"/>
      <c r="F23" s="488" t="str">
        <f t="shared" si="0"/>
        <v>----</v>
      </c>
      <c r="G23" s="487"/>
      <c r="H23" s="488" t="str">
        <f t="shared" si="1"/>
        <v>----</v>
      </c>
      <c r="I23" s="485"/>
      <c r="J23" s="85" t="str">
        <f t="shared" si="2"/>
        <v>----</v>
      </c>
    </row>
    <row r="24" spans="1:10" ht="15.75" thickBot="1">
      <c r="A24" s="74"/>
      <c r="B24" s="75"/>
      <c r="C24" s="76"/>
      <c r="D24" s="435"/>
      <c r="E24" s="480"/>
      <c r="F24" s="481" t="str">
        <f t="shared" si="0"/>
        <v>----</v>
      </c>
      <c r="G24" s="480"/>
      <c r="H24" s="481" t="str">
        <f t="shared" si="1"/>
        <v>----</v>
      </c>
      <c r="I24" s="486"/>
      <c r="J24" s="77" t="str">
        <f t="shared" si="2"/>
        <v>----</v>
      </c>
    </row>
    <row r="25" spans="1:10" ht="15.75" thickBot="1">
      <c r="A25" s="27"/>
      <c r="B25" s="27"/>
      <c r="C25" s="28"/>
      <c r="D25" s="28"/>
      <c r="E25" s="444"/>
      <c r="F25" s="446">
        <f>SUM(F4:F24)</f>
        <v>0</v>
      </c>
      <c r="G25" s="444"/>
      <c r="H25" s="446">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7" bestFit="1" customWidth="1"/>
    <col min="6" max="6" width="10.42578125" style="437" bestFit="1" customWidth="1"/>
    <col min="7" max="7" width="10.7109375" style="437" bestFit="1" customWidth="1"/>
    <col min="8" max="8" width="10.42578125" style="437" bestFit="1" customWidth="1"/>
    <col min="9" max="9" width="10.7109375" bestFit="1" customWidth="1"/>
    <col min="10" max="10" width="10.42578125" bestFit="1" customWidth="1"/>
  </cols>
  <sheetData>
    <row r="1" spans="1:10" ht="15.75" thickBot="1">
      <c r="A1" s="932" t="s">
        <v>273</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44153</v>
      </c>
      <c r="B4" s="71" t="s">
        <v>334</v>
      </c>
      <c r="C4" s="72">
        <v>412865.8</v>
      </c>
      <c r="D4" s="434">
        <f>C4</f>
        <v>412865.8</v>
      </c>
      <c r="E4" s="474">
        <v>412152.7</v>
      </c>
      <c r="F4" s="475">
        <f t="shared" ref="F4:F14" si="0">IF(ISBLANK(E4),"----",E4-D4)</f>
        <v>-713.09999999997672</v>
      </c>
      <c r="G4" s="474" t="s">
        <v>704</v>
      </c>
      <c r="H4" s="475" t="str">
        <f t="shared" ref="H4:H14" si="1">IF(OR(G4="Complete",ISBLANK(G4)),"----",G4-$D4)</f>
        <v>----</v>
      </c>
      <c r="I4" s="484" t="s">
        <v>704</v>
      </c>
      <c r="J4" s="73" t="str">
        <f t="shared" ref="J4:J14" si="2">IF(OR(I4="Complete",ISBLANK(I4)),"----",I4-$D4)</f>
        <v>----</v>
      </c>
    </row>
    <row r="5" spans="1:10">
      <c r="A5" s="88">
        <v>44488</v>
      </c>
      <c r="B5" s="101" t="s">
        <v>460</v>
      </c>
      <c r="C5" s="82">
        <v>849684.67</v>
      </c>
      <c r="D5" s="436">
        <f>C5</f>
        <v>849684.67</v>
      </c>
      <c r="E5" s="476">
        <v>804253.06</v>
      </c>
      <c r="F5" s="477">
        <f t="shared" si="0"/>
        <v>-45431.609999999986</v>
      </c>
      <c r="G5" s="476" t="s">
        <v>704</v>
      </c>
      <c r="H5" s="477" t="str">
        <f t="shared" si="1"/>
        <v>----</v>
      </c>
      <c r="I5" s="489" t="s">
        <v>704</v>
      </c>
      <c r="J5" s="83" t="str">
        <f t="shared" si="2"/>
        <v>----</v>
      </c>
    </row>
    <row r="6" spans="1:10">
      <c r="A6" s="88">
        <v>45153</v>
      </c>
      <c r="B6" s="101" t="s">
        <v>656</v>
      </c>
      <c r="C6" s="377">
        <v>2862114.42</v>
      </c>
      <c r="D6" s="573">
        <f>C6-20000</f>
        <v>2842114.42</v>
      </c>
      <c r="E6" s="476"/>
      <c r="F6" s="477" t="str">
        <f t="shared" si="0"/>
        <v>----</v>
      </c>
      <c r="G6" s="476"/>
      <c r="H6" s="477" t="str">
        <f t="shared" si="1"/>
        <v>----</v>
      </c>
      <c r="I6" s="489"/>
      <c r="J6" s="83" t="str">
        <f t="shared" si="2"/>
        <v>----</v>
      </c>
    </row>
    <row r="7" spans="1:10">
      <c r="A7" s="88"/>
      <c r="B7" s="101"/>
      <c r="C7" s="82"/>
      <c r="D7" s="436"/>
      <c r="E7" s="476"/>
      <c r="F7" s="477" t="str">
        <f t="shared" si="0"/>
        <v>----</v>
      </c>
      <c r="G7" s="476"/>
      <c r="H7" s="477" t="str">
        <f t="shared" si="1"/>
        <v>----</v>
      </c>
      <c r="I7" s="489"/>
      <c r="J7" s="83" t="str">
        <f t="shared" si="2"/>
        <v>----</v>
      </c>
    </row>
    <row r="8" spans="1:10">
      <c r="A8" s="88"/>
      <c r="B8" s="101"/>
      <c r="C8" s="82"/>
      <c r="D8" s="436"/>
      <c r="E8" s="476"/>
      <c r="F8" s="477" t="str">
        <f t="shared" si="0"/>
        <v>----</v>
      </c>
      <c r="G8" s="476"/>
      <c r="H8" s="477" t="str">
        <f t="shared" si="1"/>
        <v>----</v>
      </c>
      <c r="I8" s="489"/>
      <c r="J8" s="83" t="str">
        <f t="shared" si="2"/>
        <v>----</v>
      </c>
    </row>
    <row r="9" spans="1:10">
      <c r="A9" s="88"/>
      <c r="B9" s="101"/>
      <c r="C9" s="82"/>
      <c r="D9" s="436"/>
      <c r="E9" s="476"/>
      <c r="F9" s="477" t="str">
        <f t="shared" si="0"/>
        <v>----</v>
      </c>
      <c r="G9" s="476"/>
      <c r="H9" s="477" t="str">
        <f t="shared" si="1"/>
        <v>----</v>
      </c>
      <c r="I9" s="489"/>
      <c r="J9" s="83" t="str">
        <f t="shared" si="2"/>
        <v>----</v>
      </c>
    </row>
    <row r="10" spans="1:10">
      <c r="A10" s="88"/>
      <c r="B10" s="101"/>
      <c r="C10" s="82"/>
      <c r="D10" s="436"/>
      <c r="E10" s="476"/>
      <c r="F10" s="477" t="str">
        <f t="shared" si="0"/>
        <v>----</v>
      </c>
      <c r="G10" s="476"/>
      <c r="H10" s="477" t="str">
        <f t="shared" si="1"/>
        <v>----</v>
      </c>
      <c r="I10" s="489"/>
      <c r="J10" s="83" t="str">
        <f t="shared" si="2"/>
        <v>----</v>
      </c>
    </row>
    <row r="11" spans="1:10">
      <c r="A11" s="88"/>
      <c r="B11" s="101"/>
      <c r="C11" s="82"/>
      <c r="D11" s="436"/>
      <c r="E11" s="476"/>
      <c r="F11" s="477" t="str">
        <f t="shared" si="0"/>
        <v>----</v>
      </c>
      <c r="G11" s="476"/>
      <c r="H11" s="477" t="str">
        <f t="shared" si="1"/>
        <v>----</v>
      </c>
      <c r="I11" s="489"/>
      <c r="J11" s="83" t="str">
        <f t="shared" si="2"/>
        <v>----</v>
      </c>
    </row>
    <row r="12" spans="1:10">
      <c r="A12" s="88"/>
      <c r="B12" s="101"/>
      <c r="C12" s="82"/>
      <c r="D12" s="436"/>
      <c r="E12" s="476"/>
      <c r="F12" s="477" t="str">
        <f t="shared" si="0"/>
        <v>----</v>
      </c>
      <c r="G12" s="476"/>
      <c r="H12" s="477" t="str">
        <f t="shared" si="1"/>
        <v>----</v>
      </c>
      <c r="I12" s="489"/>
      <c r="J12" s="83" t="str">
        <f t="shared" si="2"/>
        <v>----</v>
      </c>
    </row>
    <row r="13" spans="1:10">
      <c r="A13" s="88"/>
      <c r="B13" s="101"/>
      <c r="C13" s="82"/>
      <c r="D13" s="436"/>
      <c r="E13" s="476"/>
      <c r="F13" s="477" t="str">
        <f t="shared" si="0"/>
        <v>----</v>
      </c>
      <c r="G13" s="476"/>
      <c r="H13" s="477" t="str">
        <f t="shared" si="1"/>
        <v>----</v>
      </c>
      <c r="I13" s="489"/>
      <c r="J13" s="83" t="str">
        <f t="shared" si="2"/>
        <v>----</v>
      </c>
    </row>
    <row r="14" spans="1:10" ht="15.75" thickBot="1">
      <c r="A14" s="74"/>
      <c r="B14" s="75"/>
      <c r="C14" s="76"/>
      <c r="D14" s="435"/>
      <c r="E14" s="480"/>
      <c r="F14" s="481" t="str">
        <f t="shared" si="0"/>
        <v>----</v>
      </c>
      <c r="G14" s="480"/>
      <c r="H14" s="481" t="str">
        <f t="shared" si="1"/>
        <v>----</v>
      </c>
      <c r="I14" s="486"/>
      <c r="J14" s="77" t="str">
        <f t="shared" si="2"/>
        <v>----</v>
      </c>
    </row>
    <row r="15" spans="1:10" ht="15.75" thickBot="1">
      <c r="A15" s="27"/>
      <c r="B15" s="27"/>
      <c r="C15" s="28"/>
      <c r="D15" s="28"/>
      <c r="E15" s="444"/>
      <c r="F15" s="446">
        <f>SUM(F4:F14)</f>
        <v>-46144.709999999963</v>
      </c>
      <c r="G15" s="444"/>
      <c r="H15" s="446">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A8" sqref="A8:K9"/>
    </sheetView>
  </sheetViews>
  <sheetFormatPr defaultRowHeight="15"/>
  <cols>
    <col min="2" max="2" width="23.5703125" bestFit="1" customWidth="1"/>
    <col min="3" max="3" width="12" bestFit="1" customWidth="1"/>
    <col min="4" max="4" width="12.28515625" customWidth="1"/>
    <col min="5" max="5" width="9.140625" style="437"/>
    <col min="6" max="6" width="13.85546875" style="437" customWidth="1"/>
    <col min="7" max="7" width="9.5703125" style="437" bestFit="1" customWidth="1"/>
    <col min="8" max="8" width="13.85546875" style="437" customWidth="1"/>
    <col min="9" max="9" width="10.7109375" bestFit="1" customWidth="1"/>
    <col min="10" max="10" width="13.85546875" customWidth="1"/>
    <col min="11" max="11" width="11.140625" bestFit="1" customWidth="1"/>
  </cols>
  <sheetData>
    <row r="1" spans="1:12" ht="15.75" thickBot="1">
      <c r="A1" s="932" t="s">
        <v>226</v>
      </c>
      <c r="B1" s="933"/>
      <c r="C1" s="933"/>
      <c r="D1" s="933"/>
      <c r="E1" s="933"/>
      <c r="F1" s="933"/>
      <c r="G1" s="933"/>
      <c r="H1" s="933"/>
      <c r="I1" s="933"/>
      <c r="J1" s="934"/>
    </row>
    <row r="2" spans="1:12" s="437" customFormat="1">
      <c r="A2" s="939" t="s">
        <v>110</v>
      </c>
      <c r="B2" s="941" t="s">
        <v>111</v>
      </c>
      <c r="C2" s="941" t="s">
        <v>112</v>
      </c>
      <c r="D2" s="953" t="s">
        <v>120</v>
      </c>
      <c r="E2" s="937" t="s">
        <v>702</v>
      </c>
      <c r="F2" s="938"/>
      <c r="G2" s="937" t="s">
        <v>703</v>
      </c>
      <c r="H2" s="938"/>
      <c r="I2" s="912" t="s">
        <v>801</v>
      </c>
      <c r="J2" s="913"/>
    </row>
    <row r="3" spans="1:12" ht="46.5" thickBot="1">
      <c r="A3" s="940"/>
      <c r="B3" s="942"/>
      <c r="C3" s="942"/>
      <c r="D3" s="954"/>
      <c r="E3" s="465" t="s">
        <v>121</v>
      </c>
      <c r="F3" s="473" t="s">
        <v>113</v>
      </c>
      <c r="G3" s="465" t="s">
        <v>121</v>
      </c>
      <c r="H3" s="473" t="s">
        <v>113</v>
      </c>
      <c r="I3" s="483" t="s">
        <v>121</v>
      </c>
      <c r="J3" s="25" t="s">
        <v>113</v>
      </c>
    </row>
    <row r="4" spans="1:12">
      <c r="A4" s="70">
        <v>43907</v>
      </c>
      <c r="B4" s="71" t="s">
        <v>227</v>
      </c>
      <c r="C4" s="798">
        <v>1281590.32</v>
      </c>
      <c r="D4" s="805">
        <f>C4</f>
        <v>1281590.32</v>
      </c>
      <c r="E4" s="812"/>
      <c r="F4" s="821" t="str">
        <f t="shared" ref="F4:F24" si="0">IF(ISBLANK(E4),"----",E4-D4)</f>
        <v>----</v>
      </c>
      <c r="G4" s="812"/>
      <c r="H4" s="821" t="str">
        <f t="shared" ref="H4:H24" si="1">IF(OR(G4="Complete",ISBLANK(G4)),"----",G4-$D4)</f>
        <v>----</v>
      </c>
      <c r="I4" s="809"/>
      <c r="J4" s="822" t="str">
        <f t="shared" ref="J4:J24" si="2">IF(OR(I4="Complete",ISBLANK(I4)),"----",I4-$D4)</f>
        <v>----</v>
      </c>
    </row>
    <row r="5" spans="1:12">
      <c r="A5" s="88">
        <v>43907</v>
      </c>
      <c r="B5" s="101" t="s">
        <v>228</v>
      </c>
      <c r="C5" s="801">
        <v>1298278.68</v>
      </c>
      <c r="D5" s="806">
        <f>C5</f>
        <v>1298278.68</v>
      </c>
      <c r="E5" s="813"/>
      <c r="F5" s="825" t="str">
        <f t="shared" si="0"/>
        <v>----</v>
      </c>
      <c r="G5" s="813"/>
      <c r="H5" s="825" t="str">
        <f t="shared" si="1"/>
        <v>----</v>
      </c>
      <c r="I5" s="810"/>
      <c r="J5" s="826" t="str">
        <f t="shared" si="2"/>
        <v>----</v>
      </c>
    </row>
    <row r="6" spans="1:12">
      <c r="A6" s="102">
        <v>44216</v>
      </c>
      <c r="B6" s="103" t="s">
        <v>380</v>
      </c>
      <c r="C6" s="787">
        <v>668066.63</v>
      </c>
      <c r="D6" s="746">
        <v>340346.63</v>
      </c>
      <c r="E6" s="756"/>
      <c r="F6" s="825" t="str">
        <f t="shared" si="0"/>
        <v>----</v>
      </c>
      <c r="G6" s="756">
        <f>634596.46-K6</f>
        <v>306876.45999999996</v>
      </c>
      <c r="H6" s="825">
        <f t="shared" si="1"/>
        <v>-33470.170000000042</v>
      </c>
      <c r="I6" s="751"/>
      <c r="J6" s="826" t="str">
        <f t="shared" si="2"/>
        <v>----</v>
      </c>
      <c r="K6" s="736">
        <v>327720</v>
      </c>
      <c r="L6" t="s">
        <v>816</v>
      </c>
    </row>
    <row r="7" spans="1:12">
      <c r="A7" s="102">
        <v>44880</v>
      </c>
      <c r="B7" s="103" t="s">
        <v>596</v>
      </c>
      <c r="C7" s="787">
        <v>1427198.19</v>
      </c>
      <c r="D7" s="746">
        <f>C7</f>
        <v>1427198.19</v>
      </c>
      <c r="E7" s="756"/>
      <c r="F7" s="825" t="str">
        <f t="shared" si="0"/>
        <v>----</v>
      </c>
      <c r="G7" s="756"/>
      <c r="H7" s="825" t="str">
        <f t="shared" si="1"/>
        <v>----</v>
      </c>
      <c r="I7" s="751"/>
      <c r="J7" s="826" t="str">
        <f t="shared" si="2"/>
        <v>----</v>
      </c>
      <c r="L7" t="s">
        <v>512</v>
      </c>
    </row>
    <row r="8" spans="1:12">
      <c r="A8" s="964">
        <v>45706</v>
      </c>
      <c r="B8" s="220" t="s">
        <v>845</v>
      </c>
      <c r="C8" s="775">
        <f>332734.14/2</f>
        <v>166367.07</v>
      </c>
      <c r="D8" s="776">
        <f>C8</f>
        <v>166367.07</v>
      </c>
      <c r="E8" s="777"/>
      <c r="F8" s="834" t="str">
        <f t="shared" si="0"/>
        <v>----</v>
      </c>
      <c r="G8" s="777"/>
      <c r="H8" s="834" t="str">
        <f t="shared" si="1"/>
        <v>----</v>
      </c>
      <c r="I8" s="779"/>
      <c r="J8" s="835" t="str">
        <f t="shared" si="2"/>
        <v>----</v>
      </c>
      <c r="K8" t="s">
        <v>847</v>
      </c>
    </row>
    <row r="9" spans="1:12">
      <c r="A9" s="965"/>
      <c r="B9" s="220" t="s">
        <v>846</v>
      </c>
      <c r="C9" s="775">
        <f>237813.5/2</f>
        <v>118906.75</v>
      </c>
      <c r="D9" s="776">
        <f>C9</f>
        <v>118906.75</v>
      </c>
      <c r="E9" s="777"/>
      <c r="F9" s="834" t="str">
        <f t="shared" si="0"/>
        <v>----</v>
      </c>
      <c r="G9" s="777"/>
      <c r="H9" s="834" t="str">
        <f t="shared" si="1"/>
        <v>----</v>
      </c>
      <c r="I9" s="779"/>
      <c r="J9" s="835" t="str">
        <f t="shared" si="2"/>
        <v>----</v>
      </c>
      <c r="K9" s="797" t="s">
        <v>848</v>
      </c>
    </row>
    <row r="10" spans="1:12">
      <c r="A10" s="102"/>
      <c r="B10" s="103"/>
      <c r="C10" s="787"/>
      <c r="D10" s="746"/>
      <c r="E10" s="756"/>
      <c r="F10" s="825" t="str">
        <f t="shared" si="0"/>
        <v>----</v>
      </c>
      <c r="G10" s="756"/>
      <c r="H10" s="825" t="str">
        <f t="shared" si="1"/>
        <v>----</v>
      </c>
      <c r="I10" s="751"/>
      <c r="J10" s="826" t="str">
        <f t="shared" si="2"/>
        <v>----</v>
      </c>
    </row>
    <row r="11" spans="1:12">
      <c r="A11" s="102"/>
      <c r="B11" s="103"/>
      <c r="C11" s="787"/>
      <c r="D11" s="746"/>
      <c r="E11" s="756"/>
      <c r="F11" s="825" t="str">
        <f t="shared" si="0"/>
        <v>----</v>
      </c>
      <c r="G11" s="756"/>
      <c r="H11" s="825" t="str">
        <f t="shared" si="1"/>
        <v>----</v>
      </c>
      <c r="I11" s="751"/>
      <c r="J11" s="826" t="str">
        <f t="shared" si="2"/>
        <v>----</v>
      </c>
    </row>
    <row r="12" spans="1:12">
      <c r="A12" s="102"/>
      <c r="B12" s="103"/>
      <c r="C12" s="787"/>
      <c r="D12" s="746"/>
      <c r="E12" s="756"/>
      <c r="F12" s="825" t="str">
        <f t="shared" si="0"/>
        <v>----</v>
      </c>
      <c r="G12" s="756"/>
      <c r="H12" s="825" t="str">
        <f t="shared" si="1"/>
        <v>----</v>
      </c>
      <c r="I12" s="751"/>
      <c r="J12" s="826" t="str">
        <f t="shared" si="2"/>
        <v>----</v>
      </c>
    </row>
    <row r="13" spans="1:12">
      <c r="A13" s="102"/>
      <c r="B13" s="103"/>
      <c r="C13" s="787"/>
      <c r="D13" s="746"/>
      <c r="E13" s="756"/>
      <c r="F13" s="825" t="str">
        <f t="shared" si="0"/>
        <v>----</v>
      </c>
      <c r="G13" s="756"/>
      <c r="H13" s="825" t="str">
        <f t="shared" si="1"/>
        <v>----</v>
      </c>
      <c r="I13" s="751"/>
      <c r="J13" s="826" t="str">
        <f t="shared" si="2"/>
        <v>----</v>
      </c>
    </row>
    <row r="14" spans="1:12">
      <c r="A14" s="102"/>
      <c r="B14" s="103"/>
      <c r="C14" s="787"/>
      <c r="D14" s="746"/>
      <c r="E14" s="756"/>
      <c r="F14" s="825" t="str">
        <f t="shared" si="0"/>
        <v>----</v>
      </c>
      <c r="G14" s="756"/>
      <c r="H14" s="825" t="str">
        <f t="shared" si="1"/>
        <v>----</v>
      </c>
      <c r="I14" s="751"/>
      <c r="J14" s="826" t="str">
        <f t="shared" si="2"/>
        <v>----</v>
      </c>
    </row>
    <row r="15" spans="1:12">
      <c r="A15" s="102"/>
      <c r="B15" s="103"/>
      <c r="C15" s="787"/>
      <c r="D15" s="746"/>
      <c r="E15" s="756"/>
      <c r="F15" s="825" t="str">
        <f t="shared" si="0"/>
        <v>----</v>
      </c>
      <c r="G15" s="756"/>
      <c r="H15" s="825" t="str">
        <f t="shared" si="1"/>
        <v>----</v>
      </c>
      <c r="I15" s="751"/>
      <c r="J15" s="826" t="str">
        <f t="shared" si="2"/>
        <v>----</v>
      </c>
    </row>
    <row r="16" spans="1:12">
      <c r="A16" s="102"/>
      <c r="B16" s="103"/>
      <c r="C16" s="787"/>
      <c r="D16" s="746"/>
      <c r="E16" s="756"/>
      <c r="F16" s="825" t="str">
        <f t="shared" si="0"/>
        <v>----</v>
      </c>
      <c r="G16" s="756"/>
      <c r="H16" s="825" t="str">
        <f t="shared" si="1"/>
        <v>----</v>
      </c>
      <c r="I16" s="751"/>
      <c r="J16" s="826" t="str">
        <f t="shared" si="2"/>
        <v>----</v>
      </c>
    </row>
    <row r="17" spans="1:10">
      <c r="A17" s="102"/>
      <c r="B17" s="103"/>
      <c r="C17" s="787"/>
      <c r="D17" s="746"/>
      <c r="E17" s="756"/>
      <c r="F17" s="825" t="str">
        <f t="shared" si="0"/>
        <v>----</v>
      </c>
      <c r="G17" s="756"/>
      <c r="H17" s="825" t="str">
        <f t="shared" si="1"/>
        <v>----</v>
      </c>
      <c r="I17" s="751"/>
      <c r="J17" s="826" t="str">
        <f t="shared" si="2"/>
        <v>----</v>
      </c>
    </row>
    <row r="18" spans="1:10">
      <c r="A18" s="102"/>
      <c r="B18" s="103"/>
      <c r="C18" s="787"/>
      <c r="D18" s="746"/>
      <c r="E18" s="756"/>
      <c r="F18" s="825" t="str">
        <f t="shared" si="0"/>
        <v>----</v>
      </c>
      <c r="G18" s="756"/>
      <c r="H18" s="825" t="str">
        <f t="shared" si="1"/>
        <v>----</v>
      </c>
      <c r="I18" s="751"/>
      <c r="J18" s="826" t="str">
        <f t="shared" si="2"/>
        <v>----</v>
      </c>
    </row>
    <row r="19" spans="1:10">
      <c r="A19" s="102"/>
      <c r="B19" s="103"/>
      <c r="C19" s="787"/>
      <c r="D19" s="746"/>
      <c r="E19" s="756"/>
      <c r="F19" s="825" t="str">
        <f t="shared" si="0"/>
        <v>----</v>
      </c>
      <c r="G19" s="756"/>
      <c r="H19" s="825" t="str">
        <f t="shared" si="1"/>
        <v>----</v>
      </c>
      <c r="I19" s="751"/>
      <c r="J19" s="826" t="str">
        <f t="shared" si="2"/>
        <v>----</v>
      </c>
    </row>
    <row r="20" spans="1:10">
      <c r="A20" s="102"/>
      <c r="B20" s="103"/>
      <c r="C20" s="787"/>
      <c r="D20" s="746"/>
      <c r="E20" s="756"/>
      <c r="F20" s="825" t="str">
        <f t="shared" si="0"/>
        <v>----</v>
      </c>
      <c r="G20" s="756"/>
      <c r="H20" s="825" t="str">
        <f t="shared" si="1"/>
        <v>----</v>
      </c>
      <c r="I20" s="751"/>
      <c r="J20" s="826" t="str">
        <f t="shared" si="2"/>
        <v>----</v>
      </c>
    </row>
    <row r="21" spans="1:10">
      <c r="A21" s="102"/>
      <c r="B21" s="103"/>
      <c r="C21" s="787"/>
      <c r="D21" s="746"/>
      <c r="E21" s="756"/>
      <c r="F21" s="825" t="str">
        <f t="shared" si="0"/>
        <v>----</v>
      </c>
      <c r="G21" s="756"/>
      <c r="H21" s="825" t="str">
        <f t="shared" si="1"/>
        <v>----</v>
      </c>
      <c r="I21" s="751"/>
      <c r="J21" s="826" t="str">
        <f t="shared" si="2"/>
        <v>----</v>
      </c>
    </row>
    <row r="22" spans="1:10">
      <c r="A22" s="102"/>
      <c r="B22" s="103"/>
      <c r="C22" s="787"/>
      <c r="D22" s="746"/>
      <c r="E22" s="756"/>
      <c r="F22" s="825" t="str">
        <f t="shared" si="0"/>
        <v>----</v>
      </c>
      <c r="G22" s="756"/>
      <c r="H22" s="825" t="str">
        <f t="shared" si="1"/>
        <v>----</v>
      </c>
      <c r="I22" s="751"/>
      <c r="J22" s="826" t="str">
        <f t="shared" si="2"/>
        <v>----</v>
      </c>
    </row>
    <row r="23" spans="1:10">
      <c r="A23" s="116"/>
      <c r="B23" s="117"/>
      <c r="C23" s="790"/>
      <c r="D23" s="807"/>
      <c r="E23" s="757"/>
      <c r="F23" s="825" t="str">
        <f t="shared" si="0"/>
        <v>----</v>
      </c>
      <c r="G23" s="757"/>
      <c r="H23" s="825" t="str">
        <f t="shared" si="1"/>
        <v>----</v>
      </c>
      <c r="I23" s="752"/>
      <c r="J23" s="826" t="str">
        <f t="shared" si="2"/>
        <v>----</v>
      </c>
    </row>
    <row r="24" spans="1:10" ht="15.75" thickBot="1">
      <c r="A24" s="74"/>
      <c r="B24" s="75"/>
      <c r="C24" s="800"/>
      <c r="D24" s="808"/>
      <c r="E24" s="814"/>
      <c r="F24" s="819" t="str">
        <f t="shared" si="0"/>
        <v>----</v>
      </c>
      <c r="G24" s="814"/>
      <c r="H24" s="819" t="str">
        <f t="shared" si="1"/>
        <v>----</v>
      </c>
      <c r="I24" s="811"/>
      <c r="J24" s="820" t="str">
        <f t="shared" si="2"/>
        <v>----</v>
      </c>
    </row>
    <row r="25" spans="1:10" ht="15.75" thickBot="1">
      <c r="A25" s="27"/>
      <c r="B25" s="27"/>
      <c r="C25" s="832"/>
      <c r="D25" s="832"/>
      <c r="E25" s="832"/>
      <c r="F25" s="833">
        <f>SUM(F4:F24)</f>
        <v>0</v>
      </c>
      <c r="G25" s="832"/>
      <c r="H25" s="833">
        <f>SUM(H4:H24)</f>
        <v>-33470.170000000042</v>
      </c>
      <c r="I25" s="832"/>
      <c r="J25" s="833">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7"/>
  </cols>
  <sheetData>
    <row r="1" spans="1:11" ht="15.75" thickBot="1">
      <c r="A1" s="932" t="s">
        <v>274</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69" thickBot="1">
      <c r="A3" s="940"/>
      <c r="B3" s="942"/>
      <c r="C3" s="942"/>
      <c r="D3" s="954"/>
      <c r="E3" s="465" t="s">
        <v>121</v>
      </c>
      <c r="F3" s="473" t="s">
        <v>113</v>
      </c>
      <c r="G3" s="465" t="s">
        <v>121</v>
      </c>
      <c r="H3" s="473" t="s">
        <v>113</v>
      </c>
      <c r="I3" s="483" t="s">
        <v>121</v>
      </c>
      <c r="J3" s="25" t="s">
        <v>113</v>
      </c>
    </row>
    <row r="4" spans="1:11">
      <c r="A4" s="70">
        <v>44733</v>
      </c>
      <c r="B4" s="259" t="s">
        <v>538</v>
      </c>
      <c r="C4" s="72">
        <v>614467</v>
      </c>
      <c r="D4" s="434">
        <f>C4</f>
        <v>614467</v>
      </c>
      <c r="E4" s="474"/>
      <c r="F4" s="475" t="str">
        <f t="shared" ref="F4:F23" si="0">IF(ISBLANK(E4),"----",E4-D4)</f>
        <v>----</v>
      </c>
      <c r="G4" s="474"/>
      <c r="H4" s="475" t="str">
        <f t="shared" ref="H4:H23" si="1">IF(OR(G4="Complete",ISBLANK(G4)),"----",G4-$D4)</f>
        <v>----</v>
      </c>
      <c r="I4" s="484"/>
      <c r="J4" s="73" t="str">
        <f t="shared" ref="J4:J23" si="2">IF(OR(I4="Complete",ISBLANK(I4)),"----",I4-$D4)</f>
        <v>----</v>
      </c>
    </row>
    <row r="5" spans="1:11">
      <c r="A5" s="88">
        <v>45398</v>
      </c>
      <c r="B5" s="260" t="s">
        <v>741</v>
      </c>
      <c r="C5" s="462">
        <v>963154.8</v>
      </c>
      <c r="D5" s="512">
        <f>C5-32000</f>
        <v>931154.8</v>
      </c>
      <c r="E5" s="476"/>
      <c r="F5" s="477" t="str">
        <f t="shared" si="0"/>
        <v>----</v>
      </c>
      <c r="G5" s="476"/>
      <c r="H5" s="477" t="str">
        <f t="shared" si="1"/>
        <v>----</v>
      </c>
      <c r="I5" s="489"/>
      <c r="J5" s="83" t="str">
        <f t="shared" si="2"/>
        <v>----</v>
      </c>
      <c r="K5" t="s">
        <v>742</v>
      </c>
    </row>
    <row r="6" spans="1:11">
      <c r="A6" s="88"/>
      <c r="B6" s="260"/>
      <c r="C6" s="82"/>
      <c r="D6" s="436"/>
      <c r="E6" s="476"/>
      <c r="F6" s="477" t="str">
        <f t="shared" si="0"/>
        <v>----</v>
      </c>
      <c r="G6" s="476"/>
      <c r="H6" s="477" t="str">
        <f t="shared" si="1"/>
        <v>----</v>
      </c>
      <c r="I6" s="489"/>
      <c r="J6" s="83" t="str">
        <f t="shared" si="2"/>
        <v>----</v>
      </c>
    </row>
    <row r="7" spans="1:11">
      <c r="A7" s="88"/>
      <c r="B7" s="260"/>
      <c r="C7" s="82"/>
      <c r="D7" s="436"/>
      <c r="E7" s="476"/>
      <c r="F7" s="477" t="str">
        <f t="shared" si="0"/>
        <v>----</v>
      </c>
      <c r="G7" s="476"/>
      <c r="H7" s="477" t="str">
        <f t="shared" si="1"/>
        <v>----</v>
      </c>
      <c r="I7" s="489"/>
      <c r="J7" s="83" t="str">
        <f t="shared" si="2"/>
        <v>----</v>
      </c>
    </row>
    <row r="8" spans="1:11">
      <c r="A8" s="88"/>
      <c r="B8" s="260"/>
      <c r="C8" s="82"/>
      <c r="D8" s="436"/>
      <c r="E8" s="476"/>
      <c r="F8" s="477" t="str">
        <f t="shared" si="0"/>
        <v>----</v>
      </c>
      <c r="G8" s="476"/>
      <c r="H8" s="477" t="str">
        <f t="shared" si="1"/>
        <v>----</v>
      </c>
      <c r="I8" s="489"/>
      <c r="J8" s="83" t="str">
        <f t="shared" si="2"/>
        <v>----</v>
      </c>
    </row>
    <row r="9" spans="1:11">
      <c r="A9" s="88"/>
      <c r="B9" s="260"/>
      <c r="C9" s="82"/>
      <c r="D9" s="436"/>
      <c r="E9" s="476"/>
      <c r="F9" s="477" t="str">
        <f t="shared" si="0"/>
        <v>----</v>
      </c>
      <c r="G9" s="476"/>
      <c r="H9" s="477" t="str">
        <f t="shared" si="1"/>
        <v>----</v>
      </c>
      <c r="I9" s="489"/>
      <c r="J9" s="83" t="str">
        <f t="shared" si="2"/>
        <v>----</v>
      </c>
    </row>
    <row r="10" spans="1:11">
      <c r="A10" s="88"/>
      <c r="B10" s="260"/>
      <c r="C10" s="82"/>
      <c r="D10" s="436"/>
      <c r="E10" s="476"/>
      <c r="F10" s="477" t="str">
        <f t="shared" si="0"/>
        <v>----</v>
      </c>
      <c r="G10" s="476"/>
      <c r="H10" s="477" t="str">
        <f t="shared" si="1"/>
        <v>----</v>
      </c>
      <c r="I10" s="489"/>
      <c r="J10" s="83" t="str">
        <f t="shared" si="2"/>
        <v>----</v>
      </c>
    </row>
    <row r="11" spans="1:11">
      <c r="A11" s="88"/>
      <c r="B11" s="260"/>
      <c r="C11" s="82"/>
      <c r="D11" s="436"/>
      <c r="E11" s="476"/>
      <c r="F11" s="477" t="str">
        <f t="shared" si="0"/>
        <v>----</v>
      </c>
      <c r="G11" s="476"/>
      <c r="H11" s="477" t="str">
        <f t="shared" si="1"/>
        <v>----</v>
      </c>
      <c r="I11" s="489"/>
      <c r="J11" s="83" t="str">
        <f t="shared" si="2"/>
        <v>----</v>
      </c>
    </row>
    <row r="12" spans="1:11">
      <c r="A12" s="88"/>
      <c r="B12" s="260"/>
      <c r="C12" s="82"/>
      <c r="D12" s="436"/>
      <c r="E12" s="476"/>
      <c r="F12" s="477" t="str">
        <f t="shared" si="0"/>
        <v>----</v>
      </c>
      <c r="G12" s="476"/>
      <c r="H12" s="477" t="str">
        <f t="shared" si="1"/>
        <v>----</v>
      </c>
      <c r="I12" s="489"/>
      <c r="J12" s="83" t="str">
        <f t="shared" si="2"/>
        <v>----</v>
      </c>
    </row>
    <row r="13" spans="1:11">
      <c r="A13" s="88"/>
      <c r="B13" s="260"/>
      <c r="C13" s="82"/>
      <c r="D13" s="436"/>
      <c r="E13" s="476"/>
      <c r="F13" s="477" t="str">
        <f t="shared" si="0"/>
        <v>----</v>
      </c>
      <c r="G13" s="476"/>
      <c r="H13" s="477" t="str">
        <f t="shared" si="1"/>
        <v>----</v>
      </c>
      <c r="I13" s="489"/>
      <c r="J13" s="83" t="str">
        <f t="shared" si="2"/>
        <v>----</v>
      </c>
    </row>
    <row r="14" spans="1:11">
      <c r="A14" s="88"/>
      <c r="B14" s="260"/>
      <c r="C14" s="82"/>
      <c r="D14" s="436"/>
      <c r="E14" s="476"/>
      <c r="F14" s="477" t="str">
        <f t="shared" si="0"/>
        <v>----</v>
      </c>
      <c r="G14" s="476"/>
      <c r="H14" s="477" t="str">
        <f t="shared" si="1"/>
        <v>----</v>
      </c>
      <c r="I14" s="489"/>
      <c r="J14" s="83" t="str">
        <f t="shared" si="2"/>
        <v>----</v>
      </c>
    </row>
    <row r="15" spans="1:11">
      <c r="A15" s="88"/>
      <c r="B15" s="260"/>
      <c r="C15" s="82"/>
      <c r="D15" s="436"/>
      <c r="E15" s="476"/>
      <c r="F15" s="477" t="str">
        <f t="shared" si="0"/>
        <v>----</v>
      </c>
      <c r="G15" s="476"/>
      <c r="H15" s="477" t="str">
        <f t="shared" si="1"/>
        <v>----</v>
      </c>
      <c r="I15" s="489"/>
      <c r="J15" s="83" t="str">
        <f t="shared" si="2"/>
        <v>----</v>
      </c>
    </row>
    <row r="16" spans="1:11">
      <c r="A16" s="88"/>
      <c r="B16" s="260"/>
      <c r="C16" s="82"/>
      <c r="D16" s="436"/>
      <c r="E16" s="476"/>
      <c r="F16" s="477" t="str">
        <f t="shared" si="0"/>
        <v>----</v>
      </c>
      <c r="G16" s="476"/>
      <c r="H16" s="477" t="str">
        <f t="shared" si="1"/>
        <v>----</v>
      </c>
      <c r="I16" s="489"/>
      <c r="J16" s="83" t="str">
        <f t="shared" si="2"/>
        <v>----</v>
      </c>
    </row>
    <row r="17" spans="1:10">
      <c r="A17" s="88"/>
      <c r="B17" s="260"/>
      <c r="C17" s="82"/>
      <c r="D17" s="436"/>
      <c r="E17" s="476"/>
      <c r="F17" s="477" t="str">
        <f t="shared" si="0"/>
        <v>----</v>
      </c>
      <c r="G17" s="476"/>
      <c r="H17" s="477" t="str">
        <f t="shared" si="1"/>
        <v>----</v>
      </c>
      <c r="I17" s="489"/>
      <c r="J17" s="83" t="str">
        <f t="shared" si="2"/>
        <v>----</v>
      </c>
    </row>
    <row r="18" spans="1:10">
      <c r="A18" s="88"/>
      <c r="B18" s="260"/>
      <c r="C18" s="82"/>
      <c r="D18" s="436"/>
      <c r="E18" s="476"/>
      <c r="F18" s="477" t="str">
        <f t="shared" si="0"/>
        <v>----</v>
      </c>
      <c r="G18" s="476"/>
      <c r="H18" s="477" t="str">
        <f t="shared" si="1"/>
        <v>----</v>
      </c>
      <c r="I18" s="489"/>
      <c r="J18" s="83" t="str">
        <f t="shared" si="2"/>
        <v>----</v>
      </c>
    </row>
    <row r="19" spans="1:10">
      <c r="A19" s="88"/>
      <c r="B19" s="260"/>
      <c r="C19" s="82"/>
      <c r="D19" s="436"/>
      <c r="E19" s="476"/>
      <c r="F19" s="477" t="str">
        <f t="shared" si="0"/>
        <v>----</v>
      </c>
      <c r="G19" s="476"/>
      <c r="H19" s="477" t="str">
        <f t="shared" si="1"/>
        <v>----</v>
      </c>
      <c r="I19" s="489"/>
      <c r="J19" s="83" t="str">
        <f t="shared" si="2"/>
        <v>----</v>
      </c>
    </row>
    <row r="20" spans="1:10">
      <c r="A20" s="88"/>
      <c r="B20" s="260"/>
      <c r="C20" s="82"/>
      <c r="D20" s="436"/>
      <c r="E20" s="476"/>
      <c r="F20" s="477" t="str">
        <f t="shared" si="0"/>
        <v>----</v>
      </c>
      <c r="G20" s="476"/>
      <c r="H20" s="477" t="str">
        <f t="shared" si="1"/>
        <v>----</v>
      </c>
      <c r="I20" s="489"/>
      <c r="J20" s="83" t="str">
        <f t="shared" si="2"/>
        <v>----</v>
      </c>
    </row>
    <row r="21" spans="1:10">
      <c r="A21" s="88"/>
      <c r="B21" s="260"/>
      <c r="C21" s="82"/>
      <c r="D21" s="436"/>
      <c r="E21" s="476"/>
      <c r="F21" s="477" t="str">
        <f t="shared" si="0"/>
        <v>----</v>
      </c>
      <c r="G21" s="476"/>
      <c r="H21" s="477" t="str">
        <f t="shared" si="1"/>
        <v>----</v>
      </c>
      <c r="I21" s="489"/>
      <c r="J21" s="83" t="str">
        <f t="shared" si="2"/>
        <v>----</v>
      </c>
    </row>
    <row r="22" spans="1:10">
      <c r="A22" s="91"/>
      <c r="B22" s="262"/>
      <c r="C22" s="84"/>
      <c r="D22" s="482"/>
      <c r="E22" s="487"/>
      <c r="F22" s="488" t="str">
        <f t="shared" si="0"/>
        <v>----</v>
      </c>
      <c r="G22" s="487"/>
      <c r="H22" s="488" t="str">
        <f t="shared" si="1"/>
        <v>----</v>
      </c>
      <c r="I22" s="485"/>
      <c r="J22" s="85" t="str">
        <f t="shared" si="2"/>
        <v>----</v>
      </c>
    </row>
    <row r="23" spans="1:10" ht="15.75" thickBot="1">
      <c r="A23" s="74"/>
      <c r="B23" s="75"/>
      <c r="C23" s="76"/>
      <c r="D23" s="435"/>
      <c r="E23" s="480"/>
      <c r="F23" s="481" t="str">
        <f t="shared" si="0"/>
        <v>----</v>
      </c>
      <c r="G23" s="480"/>
      <c r="H23" s="481" t="str">
        <f t="shared" si="1"/>
        <v>----</v>
      </c>
      <c r="I23" s="486"/>
      <c r="J23" s="77" t="str">
        <f t="shared" si="2"/>
        <v>----</v>
      </c>
    </row>
    <row r="24" spans="1:10" ht="15.75" thickBot="1">
      <c r="A24" s="27"/>
      <c r="B24" s="27"/>
      <c r="C24" s="28"/>
      <c r="D24" s="28"/>
      <c r="E24" s="444"/>
      <c r="F24" s="446">
        <f>SUM(F4:F23)</f>
        <v>0</v>
      </c>
      <c r="G24" s="444"/>
      <c r="H24" s="446">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M13" sqref="M13"/>
    </sheetView>
  </sheetViews>
  <sheetFormatPr defaultRowHeight="15"/>
  <cols>
    <col min="2" max="2" width="22.85546875" bestFit="1" customWidth="1"/>
    <col min="3" max="4" width="12" bestFit="1" customWidth="1"/>
    <col min="5" max="5" width="10.7109375" style="437" bestFit="1" customWidth="1"/>
    <col min="6" max="6" width="9.85546875" style="437" bestFit="1" customWidth="1"/>
    <col min="7" max="7" width="10.7109375" style="437" bestFit="1" customWidth="1"/>
    <col min="8" max="8" width="10.42578125" style="437" bestFit="1" customWidth="1"/>
    <col min="9" max="9" width="10.7109375" bestFit="1" customWidth="1"/>
    <col min="10" max="10" width="10.42578125" bestFit="1" customWidth="1"/>
  </cols>
  <sheetData>
    <row r="1" spans="1:10" ht="15.75" thickBot="1">
      <c r="A1" s="932" t="s">
        <v>275</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44180</v>
      </c>
      <c r="B4" s="71" t="s">
        <v>364</v>
      </c>
      <c r="C4" s="798">
        <v>736617.42</v>
      </c>
      <c r="D4" s="805">
        <f>C4</f>
        <v>736617.42</v>
      </c>
      <c r="E4" s="812">
        <v>741305.23</v>
      </c>
      <c r="F4" s="821">
        <f t="shared" ref="F4:F19" si="0">IF(ISBLANK(E4),"----",E4-D4)</f>
        <v>4687.8099999999395</v>
      </c>
      <c r="G4" s="812" t="s">
        <v>704</v>
      </c>
      <c r="H4" s="821" t="str">
        <f t="shared" ref="H4:H19" si="1">IF(OR(G4="Complete",ISBLANK(G4)),"----",G4-$D4)</f>
        <v>----</v>
      </c>
      <c r="I4" s="809" t="s">
        <v>704</v>
      </c>
      <c r="J4" s="822" t="str">
        <f t="shared" ref="J4:J19" si="2">IF(OR(I4="Complete",ISBLANK(I4)),"----",I4-$D4)</f>
        <v>----</v>
      </c>
    </row>
    <row r="5" spans="1:10">
      <c r="A5" s="88">
        <v>44271</v>
      </c>
      <c r="B5" s="101" t="s">
        <v>407</v>
      </c>
      <c r="C5" s="801">
        <v>675856.4</v>
      </c>
      <c r="D5" s="806">
        <v>484686.4</v>
      </c>
      <c r="E5" s="813"/>
      <c r="F5" s="825" t="str">
        <f t="shared" si="0"/>
        <v>----</v>
      </c>
      <c r="G5" s="823"/>
      <c r="H5" s="825" t="str">
        <f t="shared" si="1"/>
        <v>----</v>
      </c>
      <c r="I5" s="824"/>
      <c r="J5" s="826" t="str">
        <f t="shared" si="2"/>
        <v>----</v>
      </c>
    </row>
    <row r="6" spans="1:10">
      <c r="A6" s="91">
        <v>44670</v>
      </c>
      <c r="B6" s="92" t="s">
        <v>516</v>
      </c>
      <c r="C6" s="799">
        <v>398346.3</v>
      </c>
      <c r="D6" s="815">
        <f>C6</f>
        <v>398346.3</v>
      </c>
      <c r="E6" s="817"/>
      <c r="F6" s="679" t="str">
        <f t="shared" si="0"/>
        <v>----</v>
      </c>
      <c r="G6" s="817">
        <v>380928.98</v>
      </c>
      <c r="H6" s="825">
        <f t="shared" si="1"/>
        <v>-17417.320000000007</v>
      </c>
      <c r="I6" s="816" t="s">
        <v>704</v>
      </c>
      <c r="J6" s="826" t="str">
        <f t="shared" si="2"/>
        <v>----</v>
      </c>
    </row>
    <row r="7" spans="1:10">
      <c r="A7" s="88">
        <v>45006</v>
      </c>
      <c r="B7" s="372" t="s">
        <v>642</v>
      </c>
      <c r="C7" s="801">
        <v>1071339.8999999999</v>
      </c>
      <c r="D7" s="806">
        <f>C7</f>
        <v>1071339.8999999999</v>
      </c>
      <c r="E7" s="813"/>
      <c r="F7" s="825" t="str">
        <f t="shared" si="0"/>
        <v>----</v>
      </c>
      <c r="G7" s="813"/>
      <c r="H7" s="825" t="str">
        <f t="shared" si="1"/>
        <v>----</v>
      </c>
      <c r="I7" s="810"/>
      <c r="J7" s="826" t="str">
        <f t="shared" si="2"/>
        <v>----</v>
      </c>
    </row>
    <row r="8" spans="1:10">
      <c r="A8" s="91">
        <v>45706</v>
      </c>
      <c r="B8" s="415" t="s">
        <v>851</v>
      </c>
      <c r="C8" s="799">
        <v>498494.64</v>
      </c>
      <c r="D8" s="815">
        <f>C8</f>
        <v>498494.64</v>
      </c>
      <c r="E8" s="817"/>
      <c r="F8" s="679" t="str">
        <f t="shared" si="0"/>
        <v>----</v>
      </c>
      <c r="G8" s="817"/>
      <c r="H8" s="679" t="str">
        <f t="shared" si="1"/>
        <v>----</v>
      </c>
      <c r="I8" s="816"/>
      <c r="J8" s="680" t="str">
        <f t="shared" si="2"/>
        <v>----</v>
      </c>
    </row>
    <row r="9" spans="1:10">
      <c r="A9" s="88"/>
      <c r="B9" s="101"/>
      <c r="C9" s="801"/>
      <c r="D9" s="806"/>
      <c r="E9" s="813"/>
      <c r="F9" s="825" t="str">
        <f t="shared" si="0"/>
        <v>----</v>
      </c>
      <c r="G9" s="813"/>
      <c r="H9" s="825" t="str">
        <f t="shared" si="1"/>
        <v>----</v>
      </c>
      <c r="I9" s="810"/>
      <c r="J9" s="826" t="str">
        <f t="shared" si="2"/>
        <v>----</v>
      </c>
    </row>
    <row r="10" spans="1:10">
      <c r="A10" s="91"/>
      <c r="B10" s="92"/>
      <c r="C10" s="799"/>
      <c r="D10" s="815"/>
      <c r="E10" s="817"/>
      <c r="F10" s="679" t="str">
        <f t="shared" si="0"/>
        <v>----</v>
      </c>
      <c r="G10" s="817"/>
      <c r="H10" s="679" t="str">
        <f t="shared" si="1"/>
        <v>----</v>
      </c>
      <c r="I10" s="816"/>
      <c r="J10" s="680" t="str">
        <f t="shared" si="2"/>
        <v>----</v>
      </c>
    </row>
    <row r="11" spans="1:10">
      <c r="A11" s="88"/>
      <c r="B11" s="101"/>
      <c r="C11" s="801"/>
      <c r="D11" s="806"/>
      <c r="E11" s="813"/>
      <c r="F11" s="825" t="str">
        <f t="shared" si="0"/>
        <v>----</v>
      </c>
      <c r="G11" s="813"/>
      <c r="H11" s="825" t="str">
        <f t="shared" si="1"/>
        <v>----</v>
      </c>
      <c r="I11" s="810"/>
      <c r="J11" s="826" t="str">
        <f t="shared" si="2"/>
        <v>----</v>
      </c>
    </row>
    <row r="12" spans="1:10">
      <c r="A12" s="91"/>
      <c r="B12" s="92"/>
      <c r="C12" s="799"/>
      <c r="D12" s="815"/>
      <c r="E12" s="817"/>
      <c r="F12" s="679" t="str">
        <f t="shared" si="0"/>
        <v>----</v>
      </c>
      <c r="G12" s="817"/>
      <c r="H12" s="679" t="str">
        <f t="shared" si="1"/>
        <v>----</v>
      </c>
      <c r="I12" s="816"/>
      <c r="J12" s="680" t="str">
        <f t="shared" si="2"/>
        <v>----</v>
      </c>
    </row>
    <row r="13" spans="1:10">
      <c r="A13" s="88"/>
      <c r="B13" s="101"/>
      <c r="C13" s="801"/>
      <c r="D13" s="806"/>
      <c r="E13" s="813"/>
      <c r="F13" s="825" t="str">
        <f t="shared" si="0"/>
        <v>----</v>
      </c>
      <c r="G13" s="813"/>
      <c r="H13" s="825" t="str">
        <f t="shared" si="1"/>
        <v>----</v>
      </c>
      <c r="I13" s="810"/>
      <c r="J13" s="826" t="str">
        <f t="shared" si="2"/>
        <v>----</v>
      </c>
    </row>
    <row r="14" spans="1:10">
      <c r="A14" s="91"/>
      <c r="B14" s="92"/>
      <c r="C14" s="799"/>
      <c r="D14" s="815"/>
      <c r="E14" s="817"/>
      <c r="F14" s="679" t="str">
        <f t="shared" si="0"/>
        <v>----</v>
      </c>
      <c r="G14" s="817"/>
      <c r="H14" s="679" t="str">
        <f t="shared" si="1"/>
        <v>----</v>
      </c>
      <c r="I14" s="816"/>
      <c r="J14" s="680" t="str">
        <f t="shared" si="2"/>
        <v>----</v>
      </c>
    </row>
    <row r="15" spans="1:10">
      <c r="A15" s="88"/>
      <c r="B15" s="101"/>
      <c r="C15" s="801"/>
      <c r="D15" s="806"/>
      <c r="E15" s="813"/>
      <c r="F15" s="825" t="str">
        <f t="shared" si="0"/>
        <v>----</v>
      </c>
      <c r="G15" s="813"/>
      <c r="H15" s="825" t="str">
        <f t="shared" si="1"/>
        <v>----</v>
      </c>
      <c r="I15" s="810"/>
      <c r="J15" s="826" t="str">
        <f t="shared" si="2"/>
        <v>----</v>
      </c>
    </row>
    <row r="16" spans="1:10">
      <c r="A16" s="91"/>
      <c r="B16" s="92"/>
      <c r="C16" s="799"/>
      <c r="D16" s="815"/>
      <c r="E16" s="817"/>
      <c r="F16" s="679" t="str">
        <f t="shared" si="0"/>
        <v>----</v>
      </c>
      <c r="G16" s="817"/>
      <c r="H16" s="679" t="str">
        <f t="shared" si="1"/>
        <v>----</v>
      </c>
      <c r="I16" s="816"/>
      <c r="J16" s="680" t="str">
        <f t="shared" si="2"/>
        <v>----</v>
      </c>
    </row>
    <row r="17" spans="1:10">
      <c r="A17" s="88"/>
      <c r="B17" s="101"/>
      <c r="C17" s="801"/>
      <c r="D17" s="806"/>
      <c r="E17" s="813"/>
      <c r="F17" s="825" t="str">
        <f t="shared" si="0"/>
        <v>----</v>
      </c>
      <c r="G17" s="813"/>
      <c r="H17" s="825" t="str">
        <f t="shared" si="1"/>
        <v>----</v>
      </c>
      <c r="I17" s="810"/>
      <c r="J17" s="826" t="str">
        <f t="shared" si="2"/>
        <v>----</v>
      </c>
    </row>
    <row r="18" spans="1:10">
      <c r="A18" s="91"/>
      <c r="B18" s="92"/>
      <c r="C18" s="799"/>
      <c r="D18" s="815"/>
      <c r="E18" s="817"/>
      <c r="F18" s="679" t="str">
        <f t="shared" si="0"/>
        <v>----</v>
      </c>
      <c r="G18" s="817"/>
      <c r="H18" s="679" t="str">
        <f t="shared" si="1"/>
        <v>----</v>
      </c>
      <c r="I18" s="816"/>
      <c r="J18" s="680" t="str">
        <f t="shared" si="2"/>
        <v>----</v>
      </c>
    </row>
    <row r="19" spans="1:10" ht="15.75" thickBot="1">
      <c r="A19" s="74"/>
      <c r="B19" s="75"/>
      <c r="C19" s="800"/>
      <c r="D19" s="808"/>
      <c r="E19" s="814"/>
      <c r="F19" s="819" t="str">
        <f t="shared" si="0"/>
        <v>----</v>
      </c>
      <c r="G19" s="814"/>
      <c r="H19" s="819" t="str">
        <f t="shared" si="1"/>
        <v>----</v>
      </c>
      <c r="I19" s="811"/>
      <c r="J19" s="820" t="str">
        <f t="shared" si="2"/>
        <v>----</v>
      </c>
    </row>
    <row r="20" spans="1:10" ht="15.75" thickBot="1">
      <c r="A20" s="27"/>
      <c r="B20" s="27"/>
      <c r="C20" s="832"/>
      <c r="D20" s="832"/>
      <c r="E20" s="832"/>
      <c r="F20" s="833">
        <f>SUM(F4:F19)</f>
        <v>4687.8099999999395</v>
      </c>
      <c r="G20" s="832"/>
      <c r="H20" s="833">
        <f>SUM(H4:H19)</f>
        <v>-17417.320000000007</v>
      </c>
      <c r="I20" s="832"/>
      <c r="J20" s="833">
        <f>SUM(J4:J19)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J21"/>
  <sheetViews>
    <sheetView workbookViewId="0">
      <selection activeCell="F12" sqref="F12"/>
    </sheetView>
  </sheetViews>
  <sheetFormatPr defaultRowHeight="15"/>
  <cols>
    <col min="2" max="2" width="24.28515625" customWidth="1"/>
    <col min="3" max="3" width="10.7109375" bestFit="1" customWidth="1"/>
    <col min="4" max="4" width="12.28515625" customWidth="1"/>
    <col min="5" max="5" width="10.5703125" style="437" customWidth="1"/>
    <col min="6" max="6" width="11.5703125" style="437" customWidth="1"/>
    <col min="7" max="7" width="10.5703125" style="437" customWidth="1"/>
    <col min="8" max="8" width="11.5703125" style="437" customWidth="1"/>
    <col min="9" max="9" width="10.5703125" customWidth="1"/>
    <col min="10" max="10" width="11.5703125" customWidth="1"/>
  </cols>
  <sheetData>
    <row r="1" spans="1:10" ht="15.75" thickBot="1">
      <c r="A1" s="932" t="s">
        <v>134</v>
      </c>
      <c r="B1" s="933"/>
      <c r="C1" s="933"/>
      <c r="D1" s="933"/>
      <c r="E1" s="933"/>
      <c r="F1" s="933"/>
      <c r="G1" s="933"/>
      <c r="H1" s="933"/>
      <c r="I1" s="933"/>
      <c r="J1" s="934"/>
    </row>
    <row r="2" spans="1:10" s="437" customFormat="1" ht="15" customHeigh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43788</v>
      </c>
      <c r="B4" s="71" t="s">
        <v>418</v>
      </c>
      <c r="C4" s="683">
        <v>271442.26</v>
      </c>
      <c r="D4" s="686">
        <f t="shared" ref="D4:D9" si="0">C4</f>
        <v>271442.26</v>
      </c>
      <c r="E4" s="696">
        <v>267887.15999999997</v>
      </c>
      <c r="F4" s="703">
        <f>IF(ISBLANK(E4),"----",E4-$D4)</f>
        <v>-3555.1000000000349</v>
      </c>
      <c r="G4" s="696" t="s">
        <v>704</v>
      </c>
      <c r="H4" s="703" t="str">
        <f t="shared" ref="H4:H19" si="1">IF(OR(G4="Complete",ISBLANK(G4)),"----",G4-$D4)</f>
        <v>----</v>
      </c>
      <c r="I4" s="691" t="s">
        <v>704</v>
      </c>
      <c r="J4" s="704" t="str">
        <f t="shared" ref="J4:J19" si="2">IF(OR(I4="Complete",ISBLANK(I4)),"----",I4-$D4)</f>
        <v>----</v>
      </c>
    </row>
    <row r="5" spans="1:10">
      <c r="A5" s="88">
        <v>44306</v>
      </c>
      <c r="B5" s="101" t="s">
        <v>417</v>
      </c>
      <c r="C5" s="685">
        <v>333064.84999999998</v>
      </c>
      <c r="D5" s="687">
        <f t="shared" si="0"/>
        <v>333064.84999999998</v>
      </c>
      <c r="E5" s="697">
        <v>330195.18</v>
      </c>
      <c r="F5" s="711">
        <f t="shared" ref="F5:F19" si="3">IF(ISBLANK(E5),"----",E5-$D5)</f>
        <v>-2869.6699999999837</v>
      </c>
      <c r="G5" s="697" t="s">
        <v>704</v>
      </c>
      <c r="H5" s="711" t="str">
        <f t="shared" si="1"/>
        <v>----</v>
      </c>
      <c r="I5" s="692" t="s">
        <v>704</v>
      </c>
      <c r="J5" s="712" t="str">
        <f t="shared" si="2"/>
        <v>----</v>
      </c>
    </row>
    <row r="6" spans="1:10">
      <c r="A6" s="102">
        <v>44880</v>
      </c>
      <c r="B6" s="103" t="s">
        <v>583</v>
      </c>
      <c r="C6" s="705">
        <v>584006.48</v>
      </c>
      <c r="D6" s="688">
        <f t="shared" si="0"/>
        <v>584006.48</v>
      </c>
      <c r="E6" s="698"/>
      <c r="F6" s="706" t="str">
        <f t="shared" si="3"/>
        <v>----</v>
      </c>
      <c r="G6" s="698">
        <v>569112.02</v>
      </c>
      <c r="H6" s="706">
        <f t="shared" si="1"/>
        <v>-14894.459999999963</v>
      </c>
      <c r="I6" s="693" t="s">
        <v>704</v>
      </c>
      <c r="J6" s="707" t="str">
        <f t="shared" si="2"/>
        <v>----</v>
      </c>
    </row>
    <row r="7" spans="1:10">
      <c r="A7" s="102">
        <v>45279</v>
      </c>
      <c r="B7" s="410" t="s">
        <v>686</v>
      </c>
      <c r="C7" s="705">
        <v>563972.6</v>
      </c>
      <c r="D7" s="688">
        <f t="shared" si="0"/>
        <v>563972.6</v>
      </c>
      <c r="E7" s="698"/>
      <c r="F7" s="706" t="str">
        <f t="shared" si="3"/>
        <v>----</v>
      </c>
      <c r="G7" s="698"/>
      <c r="H7" s="706" t="str">
        <f t="shared" si="1"/>
        <v>----</v>
      </c>
      <c r="I7" s="693"/>
      <c r="J7" s="707" t="str">
        <f t="shared" si="2"/>
        <v>----</v>
      </c>
    </row>
    <row r="8" spans="1:10">
      <c r="A8" s="102">
        <v>45279</v>
      </c>
      <c r="B8" s="410" t="s">
        <v>687</v>
      </c>
      <c r="C8" s="705">
        <v>742313.3</v>
      </c>
      <c r="D8" s="688">
        <f t="shared" si="0"/>
        <v>742313.3</v>
      </c>
      <c r="E8" s="698"/>
      <c r="F8" s="706" t="str">
        <f t="shared" si="3"/>
        <v>----</v>
      </c>
      <c r="G8" s="698"/>
      <c r="H8" s="706" t="str">
        <f t="shared" si="1"/>
        <v>----</v>
      </c>
      <c r="I8" s="693"/>
      <c r="J8" s="707" t="str">
        <f t="shared" si="2"/>
        <v>----</v>
      </c>
    </row>
    <row r="9" spans="1:10">
      <c r="A9" s="681">
        <v>45643</v>
      </c>
      <c r="B9" s="682" t="s">
        <v>804</v>
      </c>
      <c r="C9" s="705">
        <v>1223739.1499999999</v>
      </c>
      <c r="D9" s="688">
        <f t="shared" si="0"/>
        <v>1223739.1499999999</v>
      </c>
      <c r="E9" s="698"/>
      <c r="F9" s="706" t="str">
        <f t="shared" si="3"/>
        <v>----</v>
      </c>
      <c r="G9" s="698"/>
      <c r="H9" s="706" t="str">
        <f t="shared" si="1"/>
        <v>----</v>
      </c>
      <c r="I9" s="693"/>
      <c r="J9" s="707" t="str">
        <f t="shared" si="2"/>
        <v>----</v>
      </c>
    </row>
    <row r="10" spans="1:10">
      <c r="A10" s="102"/>
      <c r="B10" s="103"/>
      <c r="C10" s="705"/>
      <c r="D10" s="688"/>
      <c r="E10" s="698"/>
      <c r="F10" s="706" t="str">
        <f t="shared" si="3"/>
        <v>----</v>
      </c>
      <c r="G10" s="698"/>
      <c r="H10" s="706" t="str">
        <f t="shared" si="1"/>
        <v>----</v>
      </c>
      <c r="I10" s="693"/>
      <c r="J10" s="707" t="str">
        <f t="shared" si="2"/>
        <v>----</v>
      </c>
    </row>
    <row r="11" spans="1:10">
      <c r="A11" s="102"/>
      <c r="B11" s="103"/>
      <c r="C11" s="705"/>
      <c r="D11" s="688"/>
      <c r="E11" s="698"/>
      <c r="F11" s="706" t="str">
        <f t="shared" si="3"/>
        <v>----</v>
      </c>
      <c r="G11" s="698"/>
      <c r="H11" s="706" t="str">
        <f t="shared" si="1"/>
        <v>----</v>
      </c>
      <c r="I11" s="693"/>
      <c r="J11" s="707" t="str">
        <f t="shared" si="2"/>
        <v>----</v>
      </c>
    </row>
    <row r="12" spans="1:10">
      <c r="A12" s="102"/>
      <c r="B12" s="103"/>
      <c r="C12" s="705"/>
      <c r="D12" s="688"/>
      <c r="E12" s="698"/>
      <c r="F12" s="706" t="str">
        <f t="shared" si="3"/>
        <v>----</v>
      </c>
      <c r="G12" s="698"/>
      <c r="H12" s="706" t="str">
        <f t="shared" si="1"/>
        <v>----</v>
      </c>
      <c r="I12" s="693"/>
      <c r="J12" s="707" t="str">
        <f t="shared" si="2"/>
        <v>----</v>
      </c>
    </row>
    <row r="13" spans="1:10">
      <c r="A13" s="102"/>
      <c r="B13" s="103"/>
      <c r="C13" s="705"/>
      <c r="D13" s="688"/>
      <c r="E13" s="698"/>
      <c r="F13" s="706" t="str">
        <f t="shared" si="3"/>
        <v>----</v>
      </c>
      <c r="G13" s="698"/>
      <c r="H13" s="706" t="str">
        <f t="shared" si="1"/>
        <v>----</v>
      </c>
      <c r="I13" s="693"/>
      <c r="J13" s="707" t="str">
        <f t="shared" si="2"/>
        <v>----</v>
      </c>
    </row>
    <row r="14" spans="1:10">
      <c r="A14" s="102"/>
      <c r="B14" s="103"/>
      <c r="C14" s="705"/>
      <c r="D14" s="688"/>
      <c r="E14" s="698"/>
      <c r="F14" s="706" t="str">
        <f t="shared" si="3"/>
        <v>----</v>
      </c>
      <c r="G14" s="698"/>
      <c r="H14" s="706" t="str">
        <f t="shared" si="1"/>
        <v>----</v>
      </c>
      <c r="I14" s="693"/>
      <c r="J14" s="707" t="str">
        <f t="shared" si="2"/>
        <v>----</v>
      </c>
    </row>
    <row r="15" spans="1:10">
      <c r="A15" s="102"/>
      <c r="B15" s="103"/>
      <c r="C15" s="705"/>
      <c r="D15" s="688"/>
      <c r="E15" s="698"/>
      <c r="F15" s="706" t="str">
        <f t="shared" si="3"/>
        <v>----</v>
      </c>
      <c r="G15" s="698"/>
      <c r="H15" s="706" t="str">
        <f t="shared" si="1"/>
        <v>----</v>
      </c>
      <c r="I15" s="693"/>
      <c r="J15" s="707" t="str">
        <f t="shared" si="2"/>
        <v>----</v>
      </c>
    </row>
    <row r="16" spans="1:10">
      <c r="A16" s="102"/>
      <c r="B16" s="103"/>
      <c r="C16" s="705"/>
      <c r="D16" s="688"/>
      <c r="E16" s="698"/>
      <c r="F16" s="706" t="str">
        <f t="shared" si="3"/>
        <v>----</v>
      </c>
      <c r="G16" s="698"/>
      <c r="H16" s="706" t="str">
        <f t="shared" si="1"/>
        <v>----</v>
      </c>
      <c r="I16" s="693"/>
      <c r="J16" s="707" t="str">
        <f t="shared" si="2"/>
        <v>----</v>
      </c>
    </row>
    <row r="17" spans="1:10">
      <c r="A17" s="102"/>
      <c r="B17" s="103"/>
      <c r="C17" s="705"/>
      <c r="D17" s="688"/>
      <c r="E17" s="698"/>
      <c r="F17" s="706" t="str">
        <f t="shared" si="3"/>
        <v>----</v>
      </c>
      <c r="G17" s="698"/>
      <c r="H17" s="706" t="str">
        <f t="shared" si="1"/>
        <v>----</v>
      </c>
      <c r="I17" s="693"/>
      <c r="J17" s="707" t="str">
        <f t="shared" si="2"/>
        <v>----</v>
      </c>
    </row>
    <row r="18" spans="1:10">
      <c r="A18" s="116"/>
      <c r="B18" s="117"/>
      <c r="C18" s="708"/>
      <c r="D18" s="689"/>
      <c r="E18" s="699"/>
      <c r="F18" s="709" t="str">
        <f t="shared" si="3"/>
        <v>----</v>
      </c>
      <c r="G18" s="699"/>
      <c r="H18" s="709" t="str">
        <f t="shared" si="1"/>
        <v>----</v>
      </c>
      <c r="I18" s="694"/>
      <c r="J18" s="710" t="str">
        <f t="shared" si="2"/>
        <v>----</v>
      </c>
    </row>
    <row r="19" spans="1:10" ht="15.75" thickBot="1">
      <c r="A19" s="74"/>
      <c r="B19" s="75"/>
      <c r="C19" s="684"/>
      <c r="D19" s="690"/>
      <c r="E19" s="700"/>
      <c r="F19" s="701" t="str">
        <f t="shared" si="3"/>
        <v>----</v>
      </c>
      <c r="G19" s="700"/>
      <c r="H19" s="701" t="str">
        <f t="shared" si="1"/>
        <v>----</v>
      </c>
      <c r="I19" s="695"/>
      <c r="J19" s="702" t="str">
        <f t="shared" si="2"/>
        <v>----</v>
      </c>
    </row>
    <row r="20" spans="1:10" ht="15.75" thickBot="1">
      <c r="A20" s="27"/>
      <c r="B20" s="27"/>
      <c r="C20" s="28"/>
      <c r="D20" s="28"/>
      <c r="E20" s="444"/>
      <c r="F20" s="446">
        <f>SUM(F4:F19)</f>
        <v>-6424.7700000000186</v>
      </c>
      <c r="G20" s="444"/>
      <c r="H20" s="446">
        <f>SUM(H4:H19)</f>
        <v>-14894.459999999963</v>
      </c>
      <c r="I20" s="28"/>
      <c r="J20" s="69">
        <f>SUM(J4:J19)</f>
        <v>0</v>
      </c>
    </row>
    <row r="21" spans="1:10">
      <c r="A21" s="17"/>
      <c r="B21" s="17"/>
      <c r="C21" s="20"/>
      <c r="D21" s="20"/>
      <c r="E21" s="440"/>
      <c r="F21" s="440"/>
      <c r="G21" s="440"/>
      <c r="H21" s="440"/>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7" bestFit="1" customWidth="1"/>
    <col min="6" max="6" width="14" style="437" customWidth="1"/>
    <col min="7" max="7" width="12" style="437" bestFit="1" customWidth="1"/>
    <col min="8" max="8" width="14" style="437" customWidth="1"/>
    <col min="9" max="9" width="12" bestFit="1" customWidth="1"/>
    <col min="10" max="10" width="14" customWidth="1"/>
  </cols>
  <sheetData>
    <row r="1" spans="1:10" ht="15.75" thickBot="1">
      <c r="A1" s="932" t="s">
        <v>138</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6.5" thickBot="1">
      <c r="A3" s="940"/>
      <c r="B3" s="942"/>
      <c r="C3" s="942"/>
      <c r="D3" s="954"/>
      <c r="E3" s="465" t="s">
        <v>121</v>
      </c>
      <c r="F3" s="473" t="s">
        <v>113</v>
      </c>
      <c r="G3" s="465" t="s">
        <v>121</v>
      </c>
      <c r="H3" s="473" t="s">
        <v>113</v>
      </c>
      <c r="I3" s="483" t="s">
        <v>121</v>
      </c>
      <c r="J3" s="25" t="s">
        <v>113</v>
      </c>
    </row>
    <row r="4" spans="1:10">
      <c r="A4" s="70">
        <v>43788</v>
      </c>
      <c r="B4" s="71" t="s">
        <v>145</v>
      </c>
      <c r="C4" s="72">
        <v>1022190.43</v>
      </c>
      <c r="D4" s="434">
        <f>C4</f>
        <v>1022190.43</v>
      </c>
      <c r="E4" s="474">
        <v>1026181.21</v>
      </c>
      <c r="F4" s="475">
        <f t="shared" ref="F4:F19" si="0">IF(ISBLANK(E4),"----",E4-D4)</f>
        <v>3990.7799999999115</v>
      </c>
      <c r="G4" s="474" t="s">
        <v>704</v>
      </c>
      <c r="H4" s="475" t="str">
        <f t="shared" ref="H4:H19" si="1">IF(OR(G4="Complete",ISBLANK(G4)),"----",G4-$D4)</f>
        <v>----</v>
      </c>
      <c r="I4" s="484" t="s">
        <v>704</v>
      </c>
      <c r="J4" s="73" t="str">
        <f t="shared" ref="J4:J19" si="2">IF(OR(I4="Complete",ISBLANK(I4)),"----",I4-$D4)</f>
        <v>----</v>
      </c>
    </row>
    <row r="5" spans="1:10">
      <c r="A5" s="88">
        <v>43852</v>
      </c>
      <c r="B5" s="101" t="s">
        <v>192</v>
      </c>
      <c r="C5" s="82">
        <v>465735</v>
      </c>
      <c r="D5" s="436">
        <v>372588</v>
      </c>
      <c r="E5" s="476"/>
      <c r="F5" s="477" t="str">
        <f t="shared" si="0"/>
        <v>----</v>
      </c>
      <c r="G5" s="476"/>
      <c r="H5" s="477" t="str">
        <f t="shared" si="1"/>
        <v>----</v>
      </c>
      <c r="I5" s="489"/>
      <c r="J5" s="83" t="str">
        <f t="shared" si="2"/>
        <v>----</v>
      </c>
    </row>
    <row r="6" spans="1:10">
      <c r="A6" s="102">
        <v>43852</v>
      </c>
      <c r="B6" s="103" t="s">
        <v>193</v>
      </c>
      <c r="C6" s="87">
        <v>498614</v>
      </c>
      <c r="D6" s="471">
        <v>280134</v>
      </c>
      <c r="E6" s="478"/>
      <c r="F6" s="490" t="str">
        <f t="shared" si="0"/>
        <v>----</v>
      </c>
      <c r="G6" s="478"/>
      <c r="H6" s="490" t="str">
        <f t="shared" si="1"/>
        <v>----</v>
      </c>
      <c r="I6" s="491"/>
      <c r="J6" s="115" t="str">
        <f t="shared" si="2"/>
        <v>----</v>
      </c>
    </row>
    <row r="7" spans="1:10">
      <c r="A7" s="102">
        <v>43852</v>
      </c>
      <c r="B7" s="103" t="s">
        <v>194</v>
      </c>
      <c r="C7" s="87">
        <v>1551788.4</v>
      </c>
      <c r="D7" s="471">
        <v>1251378.3999999999</v>
      </c>
      <c r="E7" s="478"/>
      <c r="F7" s="490" t="str">
        <f t="shared" si="0"/>
        <v>----</v>
      </c>
      <c r="G7" s="478"/>
      <c r="H7" s="490" t="str">
        <f t="shared" si="1"/>
        <v>----</v>
      </c>
      <c r="I7" s="491"/>
      <c r="J7" s="115" t="str">
        <f t="shared" si="2"/>
        <v>----</v>
      </c>
    </row>
    <row r="8" spans="1:10">
      <c r="A8" s="950">
        <v>44153</v>
      </c>
      <c r="B8" s="103" t="s">
        <v>335</v>
      </c>
      <c r="C8" s="87">
        <v>710860.5</v>
      </c>
      <c r="D8" s="471">
        <f>C8</f>
        <v>710860.5</v>
      </c>
      <c r="E8" s="478">
        <v>703673.95</v>
      </c>
      <c r="F8" s="490">
        <f t="shared" si="0"/>
        <v>-7186.5500000000466</v>
      </c>
      <c r="G8" s="478" t="s">
        <v>704</v>
      </c>
      <c r="H8" s="490" t="str">
        <f t="shared" si="1"/>
        <v>----</v>
      </c>
      <c r="I8" s="491" t="s">
        <v>704</v>
      </c>
      <c r="J8" s="115" t="str">
        <f t="shared" si="2"/>
        <v>----</v>
      </c>
    </row>
    <row r="9" spans="1:10">
      <c r="A9" s="952"/>
      <c r="B9" s="103" t="s">
        <v>336</v>
      </c>
      <c r="C9" s="87">
        <v>1052060.05</v>
      </c>
      <c r="D9" s="471">
        <f>C9</f>
        <v>1052060.05</v>
      </c>
      <c r="E9" s="478">
        <v>1046393.18</v>
      </c>
      <c r="F9" s="490">
        <f t="shared" si="0"/>
        <v>-5666.8699999999953</v>
      </c>
      <c r="G9" s="478" t="s">
        <v>704</v>
      </c>
      <c r="H9" s="490" t="str">
        <f t="shared" si="1"/>
        <v>----</v>
      </c>
      <c r="I9" s="491" t="s">
        <v>704</v>
      </c>
      <c r="J9" s="115" t="str">
        <f t="shared" si="2"/>
        <v>----</v>
      </c>
    </row>
    <row r="10" spans="1:10">
      <c r="A10" s="102"/>
      <c r="B10" s="103"/>
      <c r="C10" s="87"/>
      <c r="D10" s="471"/>
      <c r="E10" s="478"/>
      <c r="F10" s="490" t="str">
        <f t="shared" si="0"/>
        <v>----</v>
      </c>
      <c r="G10" s="478"/>
      <c r="H10" s="490" t="str">
        <f t="shared" si="1"/>
        <v>----</v>
      </c>
      <c r="I10" s="491"/>
      <c r="J10" s="115" t="str">
        <f t="shared" si="2"/>
        <v>----</v>
      </c>
    </row>
    <row r="11" spans="1:10">
      <c r="A11" s="102"/>
      <c r="B11" s="103"/>
      <c r="C11" s="87"/>
      <c r="D11" s="471"/>
      <c r="E11" s="478"/>
      <c r="F11" s="490" t="str">
        <f t="shared" si="0"/>
        <v>----</v>
      </c>
      <c r="G11" s="478"/>
      <c r="H11" s="490" t="str">
        <f t="shared" si="1"/>
        <v>----</v>
      </c>
      <c r="I11" s="491"/>
      <c r="J11" s="115" t="str">
        <f t="shared" si="2"/>
        <v>----</v>
      </c>
    </row>
    <row r="12" spans="1:10">
      <c r="A12" s="102"/>
      <c r="B12" s="103"/>
      <c r="C12" s="87"/>
      <c r="D12" s="471"/>
      <c r="E12" s="478"/>
      <c r="F12" s="490" t="str">
        <f t="shared" si="0"/>
        <v>----</v>
      </c>
      <c r="G12" s="478"/>
      <c r="H12" s="490" t="str">
        <f t="shared" si="1"/>
        <v>----</v>
      </c>
      <c r="I12" s="491"/>
      <c r="J12" s="115" t="str">
        <f t="shared" si="2"/>
        <v>----</v>
      </c>
    </row>
    <row r="13" spans="1:10">
      <c r="A13" s="102"/>
      <c r="B13" s="103"/>
      <c r="C13" s="87"/>
      <c r="D13" s="471"/>
      <c r="E13" s="478"/>
      <c r="F13" s="490" t="str">
        <f t="shared" si="0"/>
        <v>----</v>
      </c>
      <c r="G13" s="478"/>
      <c r="H13" s="490" t="str">
        <f t="shared" si="1"/>
        <v>----</v>
      </c>
      <c r="I13" s="491"/>
      <c r="J13" s="115" t="str">
        <f t="shared" si="2"/>
        <v>----</v>
      </c>
    </row>
    <row r="14" spans="1:10">
      <c r="A14" s="102"/>
      <c r="B14" s="103"/>
      <c r="C14" s="87"/>
      <c r="D14" s="471"/>
      <c r="E14" s="478"/>
      <c r="F14" s="490" t="str">
        <f t="shared" si="0"/>
        <v>----</v>
      </c>
      <c r="G14" s="478"/>
      <c r="H14" s="490" t="str">
        <f t="shared" si="1"/>
        <v>----</v>
      </c>
      <c r="I14" s="491"/>
      <c r="J14" s="115" t="str">
        <f t="shared" si="2"/>
        <v>----</v>
      </c>
    </row>
    <row r="15" spans="1:10">
      <c r="A15" s="102"/>
      <c r="B15" s="103"/>
      <c r="C15" s="87"/>
      <c r="D15" s="471"/>
      <c r="E15" s="478"/>
      <c r="F15" s="490" t="str">
        <f t="shared" si="0"/>
        <v>----</v>
      </c>
      <c r="G15" s="478"/>
      <c r="H15" s="490" t="str">
        <f t="shared" si="1"/>
        <v>----</v>
      </c>
      <c r="I15" s="491"/>
      <c r="J15" s="115" t="str">
        <f t="shared" si="2"/>
        <v>----</v>
      </c>
    </row>
    <row r="16" spans="1:10">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16"/>
      <c r="B18" s="117"/>
      <c r="C18" s="118"/>
      <c r="D18" s="472"/>
      <c r="E18" s="479"/>
      <c r="F18" s="490" t="str">
        <f t="shared" si="0"/>
        <v>----</v>
      </c>
      <c r="G18" s="479"/>
      <c r="H18" s="490" t="str">
        <f t="shared" si="1"/>
        <v>----</v>
      </c>
      <c r="I18" s="493"/>
      <c r="J18" s="115" t="str">
        <f t="shared" si="2"/>
        <v>----</v>
      </c>
    </row>
    <row r="19" spans="1:10" ht="15.75" thickBot="1">
      <c r="A19" s="74"/>
      <c r="B19" s="75"/>
      <c r="C19" s="76"/>
      <c r="D19" s="435"/>
      <c r="E19" s="480"/>
      <c r="F19" s="481" t="str">
        <f t="shared" si="0"/>
        <v>----</v>
      </c>
      <c r="G19" s="480"/>
      <c r="H19" s="481" t="str">
        <f t="shared" si="1"/>
        <v>----</v>
      </c>
      <c r="I19" s="486"/>
      <c r="J19" s="77" t="str">
        <f t="shared" si="2"/>
        <v>----</v>
      </c>
    </row>
    <row r="20" spans="1:10" ht="15.75" thickBot="1">
      <c r="A20" s="27"/>
      <c r="B20" s="27"/>
      <c r="C20" s="28"/>
      <c r="D20" s="28"/>
      <c r="E20" s="444"/>
      <c r="F20" s="446">
        <f>SUM(F4:F19)</f>
        <v>-8862.6400000001304</v>
      </c>
      <c r="G20" s="444"/>
      <c r="H20" s="446">
        <f>SUM(H4:H19)</f>
        <v>0</v>
      </c>
      <c r="I20" s="28"/>
      <c r="J20" s="69">
        <f>SUM(J4:J19)</f>
        <v>0</v>
      </c>
    </row>
    <row r="21" spans="1:10">
      <c r="A21" s="17"/>
      <c r="B21" s="17"/>
      <c r="C21" s="20"/>
      <c r="D21" s="20"/>
      <c r="E21" s="440"/>
      <c r="F21" s="440"/>
      <c r="G21" s="440"/>
      <c r="H21" s="440"/>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7" bestFit="1" customWidth="1"/>
    <col min="6" max="6" width="9.85546875" style="437" bestFit="1" customWidth="1"/>
    <col min="7" max="7" width="10.7109375" style="437" bestFit="1" customWidth="1"/>
    <col min="8" max="8" width="9.85546875" style="437" bestFit="1" customWidth="1"/>
    <col min="9" max="9" width="10.7109375" bestFit="1" customWidth="1"/>
    <col min="10" max="10" width="9.85546875" bestFit="1" customWidth="1"/>
  </cols>
  <sheetData>
    <row r="1" spans="1:10" ht="15.75" thickBot="1">
      <c r="A1" s="932" t="s">
        <v>276</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44153</v>
      </c>
      <c r="B4" s="71" t="s">
        <v>337</v>
      </c>
      <c r="C4" s="72">
        <v>741562.5</v>
      </c>
      <c r="D4" s="434">
        <v>331912.5</v>
      </c>
      <c r="E4" s="474">
        <v>324736.43</v>
      </c>
      <c r="F4" s="475">
        <f t="shared" ref="F4:F16" si="0">IF(ISBLANK(E4),"----",E4-D4)</f>
        <v>-7176.070000000007</v>
      </c>
      <c r="G4" s="474" t="s">
        <v>704</v>
      </c>
      <c r="H4" s="475" t="str">
        <f t="shared" ref="H4:H16" si="1">IF(OR(G4="Complete",ISBLANK(G4)),"----",G4-$D4)</f>
        <v>----</v>
      </c>
      <c r="I4" s="484" t="s">
        <v>704</v>
      </c>
      <c r="J4" s="73" t="str">
        <f t="shared" ref="J4:J16" si="2">IF(OR(I4="Complete",ISBLANK(I4)),"----",I4-$D4)</f>
        <v>----</v>
      </c>
    </row>
    <row r="5" spans="1:10">
      <c r="A5" s="88">
        <v>44216</v>
      </c>
      <c r="B5" s="101" t="s">
        <v>381</v>
      </c>
      <c r="C5" s="82">
        <v>403119.8</v>
      </c>
      <c r="D5" s="436">
        <f>C5</f>
        <v>403119.8</v>
      </c>
      <c r="E5" s="476">
        <v>401223.28</v>
      </c>
      <c r="F5" s="477">
        <f t="shared" si="0"/>
        <v>-1896.5199999999604</v>
      </c>
      <c r="G5" s="476" t="s">
        <v>704</v>
      </c>
      <c r="H5" s="477" t="str">
        <f t="shared" si="1"/>
        <v>----</v>
      </c>
      <c r="I5" s="489" t="s">
        <v>704</v>
      </c>
      <c r="J5" s="83" t="str">
        <f t="shared" si="2"/>
        <v>----</v>
      </c>
    </row>
    <row r="6" spans="1:10">
      <c r="A6" s="88"/>
      <c r="B6" s="101"/>
      <c r="C6" s="82"/>
      <c r="D6" s="436"/>
      <c r="E6" s="476"/>
      <c r="F6" s="477" t="str">
        <f t="shared" si="0"/>
        <v>----</v>
      </c>
      <c r="G6" s="476"/>
      <c r="H6" s="477" t="str">
        <f t="shared" si="1"/>
        <v>----</v>
      </c>
      <c r="I6" s="489"/>
      <c r="J6" s="83" t="str">
        <f t="shared" si="2"/>
        <v>----</v>
      </c>
    </row>
    <row r="7" spans="1:10">
      <c r="A7" s="88"/>
      <c r="B7" s="101"/>
      <c r="C7" s="82"/>
      <c r="D7" s="436"/>
      <c r="E7" s="476"/>
      <c r="F7" s="477" t="str">
        <f t="shared" si="0"/>
        <v>----</v>
      </c>
      <c r="G7" s="476"/>
      <c r="H7" s="477" t="str">
        <f t="shared" si="1"/>
        <v>----</v>
      </c>
      <c r="I7" s="489"/>
      <c r="J7" s="83" t="str">
        <f t="shared" si="2"/>
        <v>----</v>
      </c>
    </row>
    <row r="8" spans="1:10">
      <c r="A8" s="88"/>
      <c r="B8" s="101"/>
      <c r="C8" s="82"/>
      <c r="D8" s="436"/>
      <c r="E8" s="476"/>
      <c r="F8" s="477" t="str">
        <f t="shared" si="0"/>
        <v>----</v>
      </c>
      <c r="G8" s="476"/>
      <c r="H8" s="477" t="str">
        <f t="shared" si="1"/>
        <v>----</v>
      </c>
      <c r="I8" s="489"/>
      <c r="J8" s="83" t="str">
        <f t="shared" si="2"/>
        <v>----</v>
      </c>
    </row>
    <row r="9" spans="1:10">
      <c r="A9" s="88"/>
      <c r="B9" s="101"/>
      <c r="C9" s="82"/>
      <c r="D9" s="436"/>
      <c r="E9" s="476"/>
      <c r="F9" s="477" t="str">
        <f t="shared" si="0"/>
        <v>----</v>
      </c>
      <c r="G9" s="476"/>
      <c r="H9" s="477" t="str">
        <f t="shared" si="1"/>
        <v>----</v>
      </c>
      <c r="I9" s="489"/>
      <c r="J9" s="83" t="str">
        <f t="shared" si="2"/>
        <v>----</v>
      </c>
    </row>
    <row r="10" spans="1:10">
      <c r="A10" s="88"/>
      <c r="B10" s="101"/>
      <c r="C10" s="82"/>
      <c r="D10" s="436"/>
      <c r="E10" s="476"/>
      <c r="F10" s="477" t="str">
        <f t="shared" si="0"/>
        <v>----</v>
      </c>
      <c r="G10" s="476"/>
      <c r="H10" s="477" t="str">
        <f t="shared" si="1"/>
        <v>----</v>
      </c>
      <c r="I10" s="489"/>
      <c r="J10" s="83" t="str">
        <f t="shared" si="2"/>
        <v>----</v>
      </c>
    </row>
    <row r="11" spans="1:10">
      <c r="A11" s="88"/>
      <c r="B11" s="101"/>
      <c r="C11" s="82"/>
      <c r="D11" s="436"/>
      <c r="E11" s="476"/>
      <c r="F11" s="477" t="str">
        <f t="shared" si="0"/>
        <v>----</v>
      </c>
      <c r="G11" s="476"/>
      <c r="H11" s="477" t="str">
        <f t="shared" si="1"/>
        <v>----</v>
      </c>
      <c r="I11" s="489"/>
      <c r="J11" s="83" t="str">
        <f t="shared" si="2"/>
        <v>----</v>
      </c>
    </row>
    <row r="12" spans="1:10">
      <c r="A12" s="88"/>
      <c r="B12" s="101"/>
      <c r="C12" s="82"/>
      <c r="D12" s="436"/>
      <c r="E12" s="476"/>
      <c r="F12" s="477" t="str">
        <f t="shared" si="0"/>
        <v>----</v>
      </c>
      <c r="G12" s="476"/>
      <c r="H12" s="477" t="str">
        <f t="shared" si="1"/>
        <v>----</v>
      </c>
      <c r="I12" s="489"/>
      <c r="J12" s="83" t="str">
        <f t="shared" si="2"/>
        <v>----</v>
      </c>
    </row>
    <row r="13" spans="1:10">
      <c r="A13" s="88"/>
      <c r="B13" s="101"/>
      <c r="C13" s="82"/>
      <c r="D13" s="436"/>
      <c r="E13" s="476"/>
      <c r="F13" s="477" t="str">
        <f t="shared" si="0"/>
        <v>----</v>
      </c>
      <c r="G13" s="476"/>
      <c r="H13" s="477" t="str">
        <f t="shared" si="1"/>
        <v>----</v>
      </c>
      <c r="I13" s="489"/>
      <c r="J13" s="83" t="str">
        <f t="shared" si="2"/>
        <v>----</v>
      </c>
    </row>
    <row r="14" spans="1:10">
      <c r="A14" s="88"/>
      <c r="B14" s="101"/>
      <c r="C14" s="82"/>
      <c r="D14" s="436"/>
      <c r="E14" s="476"/>
      <c r="F14" s="477" t="str">
        <f t="shared" si="0"/>
        <v>----</v>
      </c>
      <c r="G14" s="476"/>
      <c r="H14" s="477" t="str">
        <f t="shared" si="1"/>
        <v>----</v>
      </c>
      <c r="I14" s="489"/>
      <c r="J14" s="83" t="str">
        <f t="shared" si="2"/>
        <v>----</v>
      </c>
    </row>
    <row r="15" spans="1:10">
      <c r="A15" s="91"/>
      <c r="B15" s="92"/>
      <c r="C15" s="84"/>
      <c r="D15" s="482"/>
      <c r="E15" s="487"/>
      <c r="F15" s="488" t="str">
        <f t="shared" si="0"/>
        <v>----</v>
      </c>
      <c r="G15" s="487"/>
      <c r="H15" s="488" t="str">
        <f t="shared" si="1"/>
        <v>----</v>
      </c>
      <c r="I15" s="485"/>
      <c r="J15" s="85" t="str">
        <f t="shared" si="2"/>
        <v>----</v>
      </c>
    </row>
    <row r="16" spans="1:10" ht="15.75" thickBot="1">
      <c r="A16" s="74"/>
      <c r="B16" s="75"/>
      <c r="C16" s="76"/>
      <c r="D16" s="435"/>
      <c r="E16" s="480"/>
      <c r="F16" s="481" t="str">
        <f t="shared" si="0"/>
        <v>----</v>
      </c>
      <c r="G16" s="480"/>
      <c r="H16" s="481" t="str">
        <f t="shared" si="1"/>
        <v>----</v>
      </c>
      <c r="I16" s="486"/>
      <c r="J16" s="77" t="str">
        <f t="shared" si="2"/>
        <v>----</v>
      </c>
    </row>
    <row r="17" spans="1:10" ht="15.75" thickBot="1">
      <c r="A17" s="27"/>
      <c r="B17" s="27"/>
      <c r="C17" s="28"/>
      <c r="D17" s="28"/>
      <c r="E17" s="444"/>
      <c r="F17" s="446">
        <f>SUM(F4:F16)</f>
        <v>-9072.5899999999674</v>
      </c>
      <c r="G17" s="444"/>
      <c r="H17" s="446">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7" bestFit="1" customWidth="1"/>
    <col min="6" max="6" width="12.42578125" style="437" customWidth="1"/>
    <col min="7" max="7" width="12" style="437" bestFit="1" customWidth="1"/>
    <col min="8" max="8" width="12.42578125" style="437" customWidth="1"/>
    <col min="9" max="9" width="12" bestFit="1" customWidth="1"/>
    <col min="10" max="10" width="12.42578125" customWidth="1"/>
  </cols>
  <sheetData>
    <row r="1" spans="1:11" ht="15.75" thickBot="1">
      <c r="A1" s="932" t="s">
        <v>277</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966">
        <v>44271</v>
      </c>
      <c r="B4" s="213" t="s">
        <v>408</v>
      </c>
      <c r="C4" s="214">
        <v>278358.5</v>
      </c>
      <c r="D4" s="574">
        <v>100843.5</v>
      </c>
      <c r="E4" s="580"/>
      <c r="F4" s="581" t="str">
        <f t="shared" ref="F4:F20" si="0">IF(ISBLANK(E4),"----",E4-D4)</f>
        <v>----</v>
      </c>
      <c r="G4" s="580"/>
      <c r="H4" s="581" t="str">
        <f t="shared" ref="H4:H20" si="1">IF(OR(G4="Complete",ISBLANK(G4)),"----",G4-$D4)</f>
        <v>----</v>
      </c>
      <c r="I4" s="577"/>
      <c r="J4" s="215" t="str">
        <f t="shared" ref="J4:J20" si="2">IF(OR(I4="Complete",ISBLANK(I4)),"----",I4-$D4)</f>
        <v>----</v>
      </c>
    </row>
    <row r="5" spans="1:11">
      <c r="A5" s="967"/>
      <c r="B5" s="121" t="s">
        <v>409</v>
      </c>
      <c r="C5" s="216">
        <v>859172.6</v>
      </c>
      <c r="D5" s="575">
        <v>531452.6</v>
      </c>
      <c r="E5" s="582"/>
      <c r="F5" s="583" t="str">
        <f t="shared" si="0"/>
        <v>----</v>
      </c>
      <c r="G5" s="582"/>
      <c r="H5" s="583" t="str">
        <f t="shared" si="1"/>
        <v>----</v>
      </c>
      <c r="I5" s="578"/>
      <c r="J5" s="217" t="str">
        <f t="shared" si="2"/>
        <v>----</v>
      </c>
    </row>
    <row r="6" spans="1:11">
      <c r="A6" s="120">
        <v>44488</v>
      </c>
      <c r="B6" s="121" t="s">
        <v>461</v>
      </c>
      <c r="C6" s="122">
        <v>1057045.6599999999</v>
      </c>
      <c r="D6" s="498">
        <f>C6</f>
        <v>1057045.6599999999</v>
      </c>
      <c r="E6" s="468">
        <v>1096008.19</v>
      </c>
      <c r="F6" s="584">
        <f t="shared" si="0"/>
        <v>38962.530000000028</v>
      </c>
      <c r="G6" s="468" t="s">
        <v>704</v>
      </c>
      <c r="H6" s="584" t="str">
        <f t="shared" si="1"/>
        <v>----</v>
      </c>
      <c r="I6" s="501" t="s">
        <v>704</v>
      </c>
      <c r="J6" s="199" t="str">
        <f t="shared" si="2"/>
        <v>----</v>
      </c>
    </row>
    <row r="7" spans="1:11">
      <c r="A7" s="120">
        <v>45097</v>
      </c>
      <c r="B7" s="121" t="s">
        <v>652</v>
      </c>
      <c r="C7" s="122">
        <v>511651.1</v>
      </c>
      <c r="D7" s="498">
        <f>C7</f>
        <v>511651.1</v>
      </c>
      <c r="E7" s="468"/>
      <c r="F7" s="584" t="str">
        <f t="shared" si="0"/>
        <v>----</v>
      </c>
      <c r="G7" s="468"/>
      <c r="H7" s="584" t="str">
        <f t="shared" si="1"/>
        <v>----</v>
      </c>
      <c r="I7" s="501"/>
      <c r="J7" s="199" t="str">
        <f t="shared" si="2"/>
        <v>----</v>
      </c>
    </row>
    <row r="8" spans="1:11">
      <c r="A8" s="120">
        <v>45216</v>
      </c>
      <c r="B8" s="121" t="s">
        <v>666</v>
      </c>
      <c r="C8" s="375">
        <v>2189595.19</v>
      </c>
      <c r="D8" s="498">
        <v>0</v>
      </c>
      <c r="E8" s="468"/>
      <c r="F8" s="584" t="str">
        <f t="shared" si="0"/>
        <v>----</v>
      </c>
      <c r="G8" s="468"/>
      <c r="H8" s="584" t="str">
        <f t="shared" si="1"/>
        <v>----</v>
      </c>
      <c r="I8" s="501"/>
      <c r="J8" s="199" t="str">
        <f t="shared" si="2"/>
        <v>----</v>
      </c>
      <c r="K8" t="s">
        <v>667</v>
      </c>
    </row>
    <row r="9" spans="1:11">
      <c r="A9" s="120"/>
      <c r="B9" s="121"/>
      <c r="C9" s="122"/>
      <c r="D9" s="498"/>
      <c r="E9" s="468"/>
      <c r="F9" s="584" t="str">
        <f t="shared" si="0"/>
        <v>----</v>
      </c>
      <c r="G9" s="468"/>
      <c r="H9" s="584" t="str">
        <f t="shared" si="1"/>
        <v>----</v>
      </c>
      <c r="I9" s="501"/>
      <c r="J9" s="199" t="str">
        <f t="shared" si="2"/>
        <v>----</v>
      </c>
    </row>
    <row r="10" spans="1:11">
      <c r="A10" s="120"/>
      <c r="B10" s="121"/>
      <c r="C10" s="122"/>
      <c r="D10" s="498"/>
      <c r="E10" s="468"/>
      <c r="F10" s="584" t="str">
        <f t="shared" si="0"/>
        <v>----</v>
      </c>
      <c r="G10" s="468"/>
      <c r="H10" s="584" t="str">
        <f t="shared" si="1"/>
        <v>----</v>
      </c>
      <c r="I10" s="501"/>
      <c r="J10" s="199" t="str">
        <f t="shared" si="2"/>
        <v>----</v>
      </c>
    </row>
    <row r="11" spans="1:11">
      <c r="A11" s="120"/>
      <c r="B11" s="121"/>
      <c r="C11" s="122"/>
      <c r="D11" s="498"/>
      <c r="E11" s="468"/>
      <c r="F11" s="584" t="str">
        <f t="shared" si="0"/>
        <v>----</v>
      </c>
      <c r="G11" s="468"/>
      <c r="H11" s="584" t="str">
        <f t="shared" si="1"/>
        <v>----</v>
      </c>
      <c r="I11" s="501"/>
      <c r="J11" s="199" t="str">
        <f t="shared" si="2"/>
        <v>----</v>
      </c>
    </row>
    <row r="12" spans="1:11">
      <c r="A12" s="120"/>
      <c r="B12" s="121"/>
      <c r="C12" s="122"/>
      <c r="D12" s="498"/>
      <c r="E12" s="468"/>
      <c r="F12" s="584" t="str">
        <f t="shared" si="0"/>
        <v>----</v>
      </c>
      <c r="G12" s="468"/>
      <c r="H12" s="584" t="str">
        <f t="shared" si="1"/>
        <v>----</v>
      </c>
      <c r="I12" s="501"/>
      <c r="J12" s="199" t="str">
        <f t="shared" si="2"/>
        <v>----</v>
      </c>
    </row>
    <row r="13" spans="1:11">
      <c r="A13" s="120"/>
      <c r="B13" s="121"/>
      <c r="C13" s="122"/>
      <c r="D13" s="498"/>
      <c r="E13" s="468"/>
      <c r="F13" s="584" t="str">
        <f t="shared" si="0"/>
        <v>----</v>
      </c>
      <c r="G13" s="468"/>
      <c r="H13" s="584" t="str">
        <f t="shared" si="1"/>
        <v>----</v>
      </c>
      <c r="I13" s="501"/>
      <c r="J13" s="199" t="str">
        <f t="shared" si="2"/>
        <v>----</v>
      </c>
    </row>
    <row r="14" spans="1:11">
      <c r="A14" s="120"/>
      <c r="B14" s="121"/>
      <c r="C14" s="122"/>
      <c r="D14" s="498"/>
      <c r="E14" s="468"/>
      <c r="F14" s="584" t="str">
        <f t="shared" si="0"/>
        <v>----</v>
      </c>
      <c r="G14" s="468"/>
      <c r="H14" s="584" t="str">
        <f t="shared" si="1"/>
        <v>----</v>
      </c>
      <c r="I14" s="501"/>
      <c r="J14" s="199" t="str">
        <f t="shared" si="2"/>
        <v>----</v>
      </c>
    </row>
    <row r="15" spans="1:11">
      <c r="A15" s="120"/>
      <c r="B15" s="121"/>
      <c r="C15" s="122"/>
      <c r="D15" s="498"/>
      <c r="E15" s="468"/>
      <c r="F15" s="584" t="str">
        <f t="shared" si="0"/>
        <v>----</v>
      </c>
      <c r="G15" s="468"/>
      <c r="H15" s="584" t="str">
        <f t="shared" si="1"/>
        <v>----</v>
      </c>
      <c r="I15" s="501"/>
      <c r="J15" s="199" t="str">
        <f t="shared" si="2"/>
        <v>----</v>
      </c>
    </row>
    <row r="16" spans="1:11">
      <c r="A16" s="120"/>
      <c r="B16" s="121"/>
      <c r="C16" s="122"/>
      <c r="D16" s="498"/>
      <c r="E16" s="468"/>
      <c r="F16" s="584" t="str">
        <f t="shared" si="0"/>
        <v>----</v>
      </c>
      <c r="G16" s="468"/>
      <c r="H16" s="584" t="str">
        <f t="shared" si="1"/>
        <v>----</v>
      </c>
      <c r="I16" s="501"/>
      <c r="J16" s="199" t="str">
        <f t="shared" si="2"/>
        <v>----</v>
      </c>
    </row>
    <row r="17" spans="1:10">
      <c r="A17" s="120"/>
      <c r="B17" s="121"/>
      <c r="C17" s="122"/>
      <c r="D17" s="498"/>
      <c r="E17" s="468"/>
      <c r="F17" s="584" t="str">
        <f t="shared" si="0"/>
        <v>----</v>
      </c>
      <c r="G17" s="468"/>
      <c r="H17" s="584" t="str">
        <f t="shared" si="1"/>
        <v>----</v>
      </c>
      <c r="I17" s="501"/>
      <c r="J17" s="199" t="str">
        <f t="shared" si="2"/>
        <v>----</v>
      </c>
    </row>
    <row r="18" spans="1:10">
      <c r="A18" s="120"/>
      <c r="B18" s="121"/>
      <c r="C18" s="122"/>
      <c r="D18" s="498"/>
      <c r="E18" s="468"/>
      <c r="F18" s="584" t="str">
        <f t="shared" si="0"/>
        <v>----</v>
      </c>
      <c r="G18" s="468"/>
      <c r="H18" s="584" t="str">
        <f t="shared" si="1"/>
        <v>----</v>
      </c>
      <c r="I18" s="501"/>
      <c r="J18" s="199" t="str">
        <f t="shared" si="2"/>
        <v>----</v>
      </c>
    </row>
    <row r="19" spans="1:10">
      <c r="A19" s="120"/>
      <c r="B19" s="121"/>
      <c r="C19" s="122"/>
      <c r="D19" s="498"/>
      <c r="E19" s="468"/>
      <c r="F19" s="584" t="str">
        <f t="shared" si="0"/>
        <v>----</v>
      </c>
      <c r="G19" s="468"/>
      <c r="H19" s="584" t="str">
        <f t="shared" si="1"/>
        <v>----</v>
      </c>
      <c r="I19" s="501"/>
      <c r="J19" s="199" t="str">
        <f t="shared" si="2"/>
        <v>----</v>
      </c>
    </row>
    <row r="20" spans="1:10" ht="15.75" thickBot="1">
      <c r="A20" s="200"/>
      <c r="B20" s="201"/>
      <c r="C20" s="202"/>
      <c r="D20" s="576"/>
      <c r="E20" s="585"/>
      <c r="F20" s="586" t="str">
        <f t="shared" si="0"/>
        <v>----</v>
      </c>
      <c r="G20" s="585"/>
      <c r="H20" s="586" t="str">
        <f t="shared" si="1"/>
        <v>----</v>
      </c>
      <c r="I20" s="579"/>
      <c r="J20" s="203" t="str">
        <f t="shared" si="2"/>
        <v>----</v>
      </c>
    </row>
    <row r="21" spans="1:10" ht="15.75" thickBot="1">
      <c r="A21" s="27"/>
      <c r="B21" s="27"/>
      <c r="C21" s="28"/>
      <c r="D21" s="28"/>
      <c r="E21" s="444"/>
      <c r="F21" s="446">
        <f>SUM(F4:F20)</f>
        <v>38962.530000000028</v>
      </c>
      <c r="G21" s="444"/>
      <c r="H21" s="446">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7" bestFit="1" customWidth="1"/>
    <col min="6" max="6" width="11.85546875" style="437" customWidth="1"/>
    <col min="7" max="7" width="10.7109375" style="437" bestFit="1" customWidth="1"/>
    <col min="8" max="8" width="11.85546875" style="437" customWidth="1"/>
    <col min="9" max="9" width="10.7109375" bestFit="1" customWidth="1"/>
    <col min="10" max="10" width="11.85546875" customWidth="1"/>
  </cols>
  <sheetData>
    <row r="1" spans="1:11" ht="15.75" thickBot="1">
      <c r="A1" s="932" t="s">
        <v>139</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43788</v>
      </c>
      <c r="B4" s="71" t="s">
        <v>144</v>
      </c>
      <c r="C4" s="104">
        <v>266037.7</v>
      </c>
      <c r="D4" s="539">
        <f>C4</f>
        <v>266037.7</v>
      </c>
      <c r="E4" s="549"/>
      <c r="F4" s="650" t="str">
        <f t="shared" ref="F4:F23" si="0">IF(ISBLANK(E4),"----",E4-D4)</f>
        <v>----</v>
      </c>
      <c r="G4" s="549"/>
      <c r="H4" s="650" t="str">
        <f t="shared" ref="H4:H23" si="1">IF(OR(G4="Complete",ISBLANK(G4)),"----",G4-$D4)</f>
        <v>----</v>
      </c>
      <c r="I4" s="544"/>
      <c r="J4" s="651" t="str">
        <f t="shared" ref="J4:J23" si="2">IF(OR(I4="Complete",ISBLANK(I4)),"----",I4-$D4)</f>
        <v>----</v>
      </c>
    </row>
    <row r="5" spans="1:11" s="29" customFormat="1">
      <c r="A5" s="194">
        <v>44306</v>
      </c>
      <c r="B5" s="195" t="s">
        <v>425</v>
      </c>
      <c r="C5" s="652">
        <v>737619</v>
      </c>
      <c r="D5" s="653">
        <f>C5</f>
        <v>737619</v>
      </c>
      <c r="E5" s="654"/>
      <c r="F5" s="655" t="str">
        <f t="shared" si="0"/>
        <v>----</v>
      </c>
      <c r="G5" s="654"/>
      <c r="H5" s="655" t="str">
        <f t="shared" si="1"/>
        <v>----</v>
      </c>
      <c r="I5" s="656"/>
      <c r="J5" s="657" t="str">
        <f t="shared" si="2"/>
        <v>----</v>
      </c>
      <c r="K5" s="29" t="s">
        <v>415</v>
      </c>
    </row>
    <row r="6" spans="1:11">
      <c r="A6" s="102">
        <v>44425</v>
      </c>
      <c r="B6" s="103" t="s">
        <v>425</v>
      </c>
      <c r="C6" s="658">
        <v>539637.54</v>
      </c>
      <c r="D6" s="541">
        <f>C6</f>
        <v>539637.54</v>
      </c>
      <c r="E6" s="551">
        <v>559968.05000000005</v>
      </c>
      <c r="F6" s="659">
        <f t="shared" si="0"/>
        <v>20330.510000000009</v>
      </c>
      <c r="G6" s="551" t="s">
        <v>704</v>
      </c>
      <c r="H6" s="659" t="str">
        <f t="shared" si="1"/>
        <v>----</v>
      </c>
      <c r="I6" s="546" t="s">
        <v>704</v>
      </c>
      <c r="J6" s="660" t="str">
        <f t="shared" si="2"/>
        <v>----</v>
      </c>
    </row>
    <row r="7" spans="1:11">
      <c r="A7" s="102">
        <v>44516</v>
      </c>
      <c r="B7" s="103" t="s">
        <v>466</v>
      </c>
      <c r="C7" s="658">
        <v>538884.36</v>
      </c>
      <c r="D7" s="541">
        <f>C7</f>
        <v>538884.36</v>
      </c>
      <c r="E7" s="551">
        <v>540323.93000000005</v>
      </c>
      <c r="F7" s="659">
        <f t="shared" si="0"/>
        <v>1439.5700000000652</v>
      </c>
      <c r="G7" s="551" t="s">
        <v>704</v>
      </c>
      <c r="H7" s="659" t="str">
        <f t="shared" si="1"/>
        <v>----</v>
      </c>
      <c r="I7" s="546" t="s">
        <v>704</v>
      </c>
      <c r="J7" s="660" t="str">
        <f t="shared" si="2"/>
        <v>----</v>
      </c>
    </row>
    <row r="8" spans="1:11">
      <c r="A8" s="102">
        <v>45489</v>
      </c>
      <c r="B8" s="455" t="s">
        <v>766</v>
      </c>
      <c r="C8" s="658">
        <v>665057.6</v>
      </c>
      <c r="D8" s="541">
        <f>C8</f>
        <v>665057.6</v>
      </c>
      <c r="E8" s="551"/>
      <c r="F8" s="659" t="str">
        <f t="shared" si="0"/>
        <v>----</v>
      </c>
      <c r="G8" s="551"/>
      <c r="H8" s="659" t="str">
        <f t="shared" si="1"/>
        <v>----</v>
      </c>
      <c r="I8" s="546"/>
      <c r="J8" s="660" t="str">
        <f t="shared" si="2"/>
        <v>----</v>
      </c>
    </row>
    <row r="9" spans="1:11">
      <c r="A9" s="102"/>
      <c r="B9" s="103"/>
      <c r="C9" s="658"/>
      <c r="D9" s="541"/>
      <c r="E9" s="551"/>
      <c r="F9" s="659" t="str">
        <f t="shared" si="0"/>
        <v>----</v>
      </c>
      <c r="G9" s="551"/>
      <c r="H9" s="659" t="str">
        <f t="shared" si="1"/>
        <v>----</v>
      </c>
      <c r="I9" s="546"/>
      <c r="J9" s="660" t="str">
        <f t="shared" si="2"/>
        <v>----</v>
      </c>
    </row>
    <row r="10" spans="1:11">
      <c r="A10" s="102"/>
      <c r="B10" s="103"/>
      <c r="C10" s="658"/>
      <c r="D10" s="541"/>
      <c r="E10" s="551"/>
      <c r="F10" s="659" t="str">
        <f t="shared" si="0"/>
        <v>----</v>
      </c>
      <c r="G10" s="551"/>
      <c r="H10" s="659" t="str">
        <f t="shared" si="1"/>
        <v>----</v>
      </c>
      <c r="I10" s="546"/>
      <c r="J10" s="660" t="str">
        <f t="shared" si="2"/>
        <v>----</v>
      </c>
    </row>
    <row r="11" spans="1:11">
      <c r="A11" s="102"/>
      <c r="B11" s="103"/>
      <c r="C11" s="658"/>
      <c r="D11" s="541"/>
      <c r="E11" s="551"/>
      <c r="F11" s="659" t="str">
        <f t="shared" si="0"/>
        <v>----</v>
      </c>
      <c r="G11" s="551"/>
      <c r="H11" s="659" t="str">
        <f t="shared" si="1"/>
        <v>----</v>
      </c>
      <c r="I11" s="546"/>
      <c r="J11" s="660" t="str">
        <f t="shared" si="2"/>
        <v>----</v>
      </c>
    </row>
    <row r="12" spans="1:11">
      <c r="A12" s="102"/>
      <c r="B12" s="103"/>
      <c r="C12" s="658"/>
      <c r="D12" s="541"/>
      <c r="E12" s="551"/>
      <c r="F12" s="659" t="str">
        <f t="shared" si="0"/>
        <v>----</v>
      </c>
      <c r="G12" s="551"/>
      <c r="H12" s="659" t="str">
        <f t="shared" si="1"/>
        <v>----</v>
      </c>
      <c r="I12" s="546"/>
      <c r="J12" s="660" t="str">
        <f t="shared" si="2"/>
        <v>----</v>
      </c>
    </row>
    <row r="13" spans="1:11">
      <c r="A13" s="102"/>
      <c r="B13" s="103"/>
      <c r="C13" s="658"/>
      <c r="D13" s="541"/>
      <c r="E13" s="551"/>
      <c r="F13" s="659" t="str">
        <f t="shared" si="0"/>
        <v>----</v>
      </c>
      <c r="G13" s="551"/>
      <c r="H13" s="659" t="str">
        <f t="shared" si="1"/>
        <v>----</v>
      </c>
      <c r="I13" s="546"/>
      <c r="J13" s="660" t="str">
        <f t="shared" si="2"/>
        <v>----</v>
      </c>
    </row>
    <row r="14" spans="1:11">
      <c r="A14" s="102"/>
      <c r="B14" s="103"/>
      <c r="C14" s="658"/>
      <c r="D14" s="541"/>
      <c r="E14" s="551"/>
      <c r="F14" s="659" t="str">
        <f t="shared" si="0"/>
        <v>----</v>
      </c>
      <c r="G14" s="551"/>
      <c r="H14" s="659" t="str">
        <f t="shared" si="1"/>
        <v>----</v>
      </c>
      <c r="I14" s="546"/>
      <c r="J14" s="660" t="str">
        <f t="shared" si="2"/>
        <v>----</v>
      </c>
    </row>
    <row r="15" spans="1:11">
      <c r="A15" s="102"/>
      <c r="B15" s="103"/>
      <c r="C15" s="658"/>
      <c r="D15" s="541"/>
      <c r="E15" s="551"/>
      <c r="F15" s="659" t="str">
        <f t="shared" si="0"/>
        <v>----</v>
      </c>
      <c r="G15" s="551"/>
      <c r="H15" s="659" t="str">
        <f t="shared" si="1"/>
        <v>----</v>
      </c>
      <c r="I15" s="546"/>
      <c r="J15" s="660" t="str">
        <f t="shared" si="2"/>
        <v>----</v>
      </c>
    </row>
    <row r="16" spans="1:11">
      <c r="A16" s="102"/>
      <c r="B16" s="103"/>
      <c r="C16" s="658"/>
      <c r="D16" s="541"/>
      <c r="E16" s="551"/>
      <c r="F16" s="659" t="str">
        <f t="shared" si="0"/>
        <v>----</v>
      </c>
      <c r="G16" s="551"/>
      <c r="H16" s="659" t="str">
        <f t="shared" si="1"/>
        <v>----</v>
      </c>
      <c r="I16" s="546"/>
      <c r="J16" s="660" t="str">
        <f t="shared" si="2"/>
        <v>----</v>
      </c>
    </row>
    <row r="17" spans="1:10">
      <c r="A17" s="102"/>
      <c r="B17" s="103"/>
      <c r="C17" s="658"/>
      <c r="D17" s="541"/>
      <c r="E17" s="551"/>
      <c r="F17" s="659" t="str">
        <f t="shared" si="0"/>
        <v>----</v>
      </c>
      <c r="G17" s="551"/>
      <c r="H17" s="659" t="str">
        <f t="shared" si="1"/>
        <v>----</v>
      </c>
      <c r="I17" s="546"/>
      <c r="J17" s="660" t="str">
        <f t="shared" si="2"/>
        <v>----</v>
      </c>
    </row>
    <row r="18" spans="1:10">
      <c r="A18" s="102"/>
      <c r="B18" s="103"/>
      <c r="C18" s="658"/>
      <c r="D18" s="541"/>
      <c r="E18" s="551"/>
      <c r="F18" s="659" t="str">
        <f t="shared" si="0"/>
        <v>----</v>
      </c>
      <c r="G18" s="551"/>
      <c r="H18" s="659" t="str">
        <f t="shared" si="1"/>
        <v>----</v>
      </c>
      <c r="I18" s="546"/>
      <c r="J18" s="660" t="str">
        <f t="shared" si="2"/>
        <v>----</v>
      </c>
    </row>
    <row r="19" spans="1:10">
      <c r="A19" s="102"/>
      <c r="B19" s="103"/>
      <c r="C19" s="658"/>
      <c r="D19" s="541"/>
      <c r="E19" s="551"/>
      <c r="F19" s="659" t="str">
        <f t="shared" si="0"/>
        <v>----</v>
      </c>
      <c r="G19" s="551"/>
      <c r="H19" s="659" t="str">
        <f t="shared" si="1"/>
        <v>----</v>
      </c>
      <c r="I19" s="546"/>
      <c r="J19" s="660" t="str">
        <f t="shared" si="2"/>
        <v>----</v>
      </c>
    </row>
    <row r="20" spans="1:10">
      <c r="A20" s="102"/>
      <c r="B20" s="103"/>
      <c r="C20" s="658"/>
      <c r="D20" s="541"/>
      <c r="E20" s="551"/>
      <c r="F20" s="659" t="str">
        <f t="shared" si="0"/>
        <v>----</v>
      </c>
      <c r="G20" s="551"/>
      <c r="H20" s="659" t="str">
        <f t="shared" si="1"/>
        <v>----</v>
      </c>
      <c r="I20" s="546"/>
      <c r="J20" s="660" t="str">
        <f t="shared" si="2"/>
        <v>----</v>
      </c>
    </row>
    <row r="21" spans="1:10">
      <c r="A21" s="102"/>
      <c r="B21" s="103"/>
      <c r="C21" s="658"/>
      <c r="D21" s="541"/>
      <c r="E21" s="551"/>
      <c r="F21" s="659" t="str">
        <f t="shared" si="0"/>
        <v>----</v>
      </c>
      <c r="G21" s="551"/>
      <c r="H21" s="659" t="str">
        <f t="shared" si="1"/>
        <v>----</v>
      </c>
      <c r="I21" s="546"/>
      <c r="J21" s="660" t="str">
        <f t="shared" si="2"/>
        <v>----</v>
      </c>
    </row>
    <row r="22" spans="1:10">
      <c r="A22" s="116"/>
      <c r="B22" s="117"/>
      <c r="C22" s="661"/>
      <c r="D22" s="542"/>
      <c r="E22" s="552"/>
      <c r="F22" s="662" t="str">
        <f t="shared" si="0"/>
        <v>----</v>
      </c>
      <c r="G22" s="552"/>
      <c r="H22" s="662" t="str">
        <f t="shared" si="1"/>
        <v>----</v>
      </c>
      <c r="I22" s="547"/>
      <c r="J22" s="663" t="str">
        <f t="shared" si="2"/>
        <v>----</v>
      </c>
    </row>
    <row r="23" spans="1:10" ht="15.75" thickBot="1">
      <c r="A23" s="74"/>
      <c r="B23" s="75"/>
      <c r="C23" s="106"/>
      <c r="D23" s="543"/>
      <c r="E23" s="553"/>
      <c r="F23" s="648" t="str">
        <f t="shared" si="0"/>
        <v>----</v>
      </c>
      <c r="G23" s="553"/>
      <c r="H23" s="648" t="str">
        <f t="shared" si="1"/>
        <v>----</v>
      </c>
      <c r="I23" s="548"/>
      <c r="J23" s="649" t="str">
        <f t="shared" si="2"/>
        <v>----</v>
      </c>
    </row>
    <row r="24" spans="1:10" ht="15.75" thickBot="1">
      <c r="A24" s="27"/>
      <c r="B24" s="27"/>
      <c r="C24" s="28"/>
      <c r="D24" s="28"/>
      <c r="E24" s="444"/>
      <c r="F24" s="446">
        <f>SUM(F4:F23)</f>
        <v>21770.080000000075</v>
      </c>
      <c r="G24" s="444"/>
      <c r="H24" s="446">
        <f>SUM(H4:H23)</f>
        <v>0</v>
      </c>
      <c r="I24" s="28"/>
      <c r="J24" s="69">
        <f>SUM(J4:J23)</f>
        <v>0</v>
      </c>
    </row>
    <row r="25" spans="1:10">
      <c r="A25" s="17"/>
      <c r="B25" s="17"/>
      <c r="C25" s="20"/>
      <c r="D25" s="20"/>
      <c r="E25" s="440"/>
      <c r="F25" s="440"/>
      <c r="G25" s="440"/>
      <c r="H25" s="440"/>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7"/>
    <col min="6" max="6" width="11.28515625" style="437" customWidth="1"/>
    <col min="7" max="7" width="9.140625" style="437"/>
    <col min="8" max="8" width="11.28515625" style="437" customWidth="1"/>
    <col min="10" max="10" width="11.28515625" customWidth="1"/>
  </cols>
  <sheetData>
    <row r="1" spans="1:10" ht="15.75" thickBot="1">
      <c r="A1" s="932" t="s">
        <v>278</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44516</v>
      </c>
      <c r="B4" s="71" t="s">
        <v>467</v>
      </c>
      <c r="C4" s="72">
        <v>728224.64</v>
      </c>
      <c r="D4" s="434">
        <f>C4</f>
        <v>728224.64</v>
      </c>
      <c r="E4" s="474"/>
      <c r="F4" s="475" t="str">
        <f>IF(ISBLANK(E4),"----",E4-D4)</f>
        <v>----</v>
      </c>
      <c r="G4" s="474"/>
      <c r="H4" s="475" t="str">
        <f>IF(OR(G4="Complete",ISBLANK(G4)),"----",G4-$D4)</f>
        <v>----</v>
      </c>
      <c r="I4" s="484"/>
      <c r="J4" s="73" t="str">
        <f>IF(OR(I4="Complete",ISBLANK(I4)),"----",I4-$D4)</f>
        <v>----</v>
      </c>
    </row>
    <row r="5" spans="1:10">
      <c r="A5" s="88"/>
      <c r="B5" s="101"/>
      <c r="C5" s="82"/>
      <c r="D5" s="436"/>
      <c r="E5" s="476"/>
      <c r="F5" s="477" t="str">
        <f>IF(ISBLANK(E5),"----",E5-D5)</f>
        <v>----</v>
      </c>
      <c r="G5" s="476"/>
      <c r="H5" s="477" t="str">
        <f>IF(OR(G5="Complete",ISBLANK(G5)),"----",G5-$D5)</f>
        <v>----</v>
      </c>
      <c r="I5" s="489"/>
      <c r="J5" s="83" t="str">
        <f>IF(OR(I5="Complete",ISBLANK(I5)),"----",I5-$D5)</f>
        <v>----</v>
      </c>
    </row>
    <row r="6" spans="1:10">
      <c r="A6" s="91"/>
      <c r="B6" s="92"/>
      <c r="C6" s="84"/>
      <c r="D6" s="482"/>
      <c r="E6" s="487"/>
      <c r="F6" s="488" t="str">
        <f>IF(ISBLANK(E6),"----",E6-D6)</f>
        <v>----</v>
      </c>
      <c r="G6" s="487"/>
      <c r="H6" s="488" t="str">
        <f>IF(OR(G6="Complete",ISBLANK(G6)),"----",G6-$D6)</f>
        <v>----</v>
      </c>
      <c r="I6" s="485"/>
      <c r="J6" s="85" t="str">
        <f>IF(OR(I6="Complete",ISBLANK(I6)),"----",I6-$D6)</f>
        <v>----</v>
      </c>
    </row>
    <row r="7" spans="1:10" ht="15.75" thickBot="1">
      <c r="A7" s="74"/>
      <c r="B7" s="75"/>
      <c r="C7" s="76"/>
      <c r="D7" s="435"/>
      <c r="E7" s="480"/>
      <c r="F7" s="481" t="str">
        <f>IF(ISBLANK(E7),"----",E7-D7)</f>
        <v>----</v>
      </c>
      <c r="G7" s="480"/>
      <c r="H7" s="481" t="str">
        <f>IF(OR(G7="Complete",ISBLANK(G7)),"----",G7-$D7)</f>
        <v>----</v>
      </c>
      <c r="I7" s="486"/>
      <c r="J7" s="77" t="str">
        <f>IF(OR(I7="Complete",ISBLANK(I7)),"----",I7-$D7)</f>
        <v>----</v>
      </c>
    </row>
    <row r="8" spans="1:10" ht="15.75" thickBot="1">
      <c r="A8" s="27"/>
      <c r="B8" s="27"/>
      <c r="C8" s="28"/>
      <c r="D8" s="28"/>
      <c r="E8" s="444"/>
      <c r="F8" s="446">
        <f>SUM(F4:F7)</f>
        <v>0</v>
      </c>
      <c r="G8" s="444"/>
      <c r="H8" s="446">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N16" sqref="N16"/>
    </sheetView>
  </sheetViews>
  <sheetFormatPr defaultRowHeight="15"/>
  <cols>
    <col min="2" max="2" width="22.28515625" bestFit="1" customWidth="1"/>
    <col min="3" max="4" width="11.42578125" bestFit="1" customWidth="1"/>
    <col min="5" max="8" width="9.140625" style="437"/>
  </cols>
  <sheetData>
    <row r="1" spans="1:10" ht="15.75" thickBot="1">
      <c r="A1" s="932" t="s">
        <v>279</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69" thickBot="1">
      <c r="A3" s="940"/>
      <c r="B3" s="942"/>
      <c r="C3" s="942"/>
      <c r="D3" s="954"/>
      <c r="E3" s="465" t="s">
        <v>121</v>
      </c>
      <c r="F3" s="473" t="s">
        <v>113</v>
      </c>
      <c r="G3" s="465" t="s">
        <v>121</v>
      </c>
      <c r="H3" s="473" t="s">
        <v>113</v>
      </c>
      <c r="I3" s="483" t="s">
        <v>121</v>
      </c>
      <c r="J3" s="25" t="s">
        <v>113</v>
      </c>
    </row>
    <row r="4" spans="1:10">
      <c r="A4" s="70">
        <v>44243</v>
      </c>
      <c r="B4" s="71" t="s">
        <v>401</v>
      </c>
      <c r="C4" s="72">
        <v>472128</v>
      </c>
      <c r="D4" s="434">
        <v>280958</v>
      </c>
      <c r="E4" s="474"/>
      <c r="F4" s="475" t="str">
        <f t="shared" ref="F4:F21" si="0">IF(ISBLANK(E4),"----",E4-D4)</f>
        <v>----</v>
      </c>
      <c r="G4" s="474"/>
      <c r="H4" s="475" t="str">
        <f t="shared" ref="H4:H21" si="1">IF(OR(G4="Complete",ISBLANK(G4)),"----",G4-$D4)</f>
        <v>----</v>
      </c>
      <c r="I4" s="484"/>
      <c r="J4" s="73" t="str">
        <f t="shared" ref="J4:J21" si="2">IF(OR(I4="Complete",ISBLANK(I4)),"----",I4-$D4)</f>
        <v>----</v>
      </c>
    </row>
    <row r="5" spans="1:10">
      <c r="A5" s="88">
        <v>45188</v>
      </c>
      <c r="B5" s="101" t="s">
        <v>659</v>
      </c>
      <c r="C5" s="377">
        <v>1201924.93</v>
      </c>
      <c r="D5" s="573">
        <f>C5</f>
        <v>1201924.93</v>
      </c>
      <c r="E5" s="476"/>
      <c r="F5" s="477" t="str">
        <f t="shared" si="0"/>
        <v>----</v>
      </c>
      <c r="G5" s="476"/>
      <c r="H5" s="477" t="str">
        <f t="shared" si="1"/>
        <v>----</v>
      </c>
      <c r="I5" s="489"/>
      <c r="J5" s="83" t="str">
        <f t="shared" si="2"/>
        <v>----</v>
      </c>
    </row>
    <row r="6" spans="1:10">
      <c r="A6" s="91"/>
      <c r="B6" s="92"/>
      <c r="C6" s="84"/>
      <c r="D6" s="482"/>
      <c r="E6" s="487"/>
      <c r="F6" s="488" t="str">
        <f t="shared" si="0"/>
        <v>----</v>
      </c>
      <c r="G6" s="487"/>
      <c r="H6" s="488" t="str">
        <f t="shared" si="1"/>
        <v>----</v>
      </c>
      <c r="I6" s="485"/>
      <c r="J6" s="85" t="str">
        <f t="shared" si="2"/>
        <v>----</v>
      </c>
    </row>
    <row r="7" spans="1:10">
      <c r="A7" s="88"/>
      <c r="B7" s="101"/>
      <c r="C7" s="82"/>
      <c r="D7" s="436"/>
      <c r="E7" s="476"/>
      <c r="F7" s="477" t="str">
        <f t="shared" si="0"/>
        <v>----</v>
      </c>
      <c r="G7" s="476"/>
      <c r="H7" s="477" t="str">
        <f t="shared" si="1"/>
        <v>----</v>
      </c>
      <c r="I7" s="489"/>
      <c r="J7" s="83" t="str">
        <f t="shared" si="2"/>
        <v>----</v>
      </c>
    </row>
    <row r="8" spans="1:10">
      <c r="A8" s="91"/>
      <c r="B8" s="92"/>
      <c r="C8" s="84"/>
      <c r="D8" s="482"/>
      <c r="E8" s="487"/>
      <c r="F8" s="488" t="str">
        <f t="shared" si="0"/>
        <v>----</v>
      </c>
      <c r="G8" s="487"/>
      <c r="H8" s="488" t="str">
        <f t="shared" si="1"/>
        <v>----</v>
      </c>
      <c r="I8" s="485"/>
      <c r="J8" s="85" t="str">
        <f t="shared" si="2"/>
        <v>----</v>
      </c>
    </row>
    <row r="9" spans="1:10">
      <c r="A9" s="88"/>
      <c r="B9" s="101"/>
      <c r="C9" s="82"/>
      <c r="D9" s="436"/>
      <c r="E9" s="476"/>
      <c r="F9" s="477" t="str">
        <f t="shared" si="0"/>
        <v>----</v>
      </c>
      <c r="G9" s="476"/>
      <c r="H9" s="477" t="str">
        <f t="shared" si="1"/>
        <v>----</v>
      </c>
      <c r="I9" s="489"/>
      <c r="J9" s="83" t="str">
        <f t="shared" si="2"/>
        <v>----</v>
      </c>
    </row>
    <row r="10" spans="1:10">
      <c r="A10" s="91"/>
      <c r="B10" s="92"/>
      <c r="C10" s="84"/>
      <c r="D10" s="482"/>
      <c r="E10" s="487"/>
      <c r="F10" s="488" t="str">
        <f t="shared" si="0"/>
        <v>----</v>
      </c>
      <c r="G10" s="487"/>
      <c r="H10" s="488" t="str">
        <f t="shared" si="1"/>
        <v>----</v>
      </c>
      <c r="I10" s="485"/>
      <c r="J10" s="85" t="str">
        <f t="shared" si="2"/>
        <v>----</v>
      </c>
    </row>
    <row r="11" spans="1:10">
      <c r="A11" s="88"/>
      <c r="B11" s="101"/>
      <c r="C11" s="82"/>
      <c r="D11" s="436"/>
      <c r="E11" s="476"/>
      <c r="F11" s="477" t="str">
        <f t="shared" si="0"/>
        <v>----</v>
      </c>
      <c r="G11" s="476"/>
      <c r="H11" s="477" t="str">
        <f t="shared" si="1"/>
        <v>----</v>
      </c>
      <c r="I11" s="489"/>
      <c r="J11" s="83" t="str">
        <f t="shared" si="2"/>
        <v>----</v>
      </c>
    </row>
    <row r="12" spans="1:10">
      <c r="A12" s="91"/>
      <c r="B12" s="92"/>
      <c r="C12" s="84"/>
      <c r="D12" s="482"/>
      <c r="E12" s="487"/>
      <c r="F12" s="488" t="str">
        <f t="shared" si="0"/>
        <v>----</v>
      </c>
      <c r="G12" s="487"/>
      <c r="H12" s="488" t="str">
        <f t="shared" si="1"/>
        <v>----</v>
      </c>
      <c r="I12" s="485"/>
      <c r="J12" s="85" t="str">
        <f t="shared" si="2"/>
        <v>----</v>
      </c>
    </row>
    <row r="13" spans="1:10">
      <c r="A13" s="88"/>
      <c r="B13" s="101"/>
      <c r="C13" s="82"/>
      <c r="D13" s="436"/>
      <c r="E13" s="476"/>
      <c r="F13" s="477" t="str">
        <f t="shared" si="0"/>
        <v>----</v>
      </c>
      <c r="G13" s="476"/>
      <c r="H13" s="477" t="str">
        <f t="shared" si="1"/>
        <v>----</v>
      </c>
      <c r="I13" s="489"/>
      <c r="J13" s="83" t="str">
        <f t="shared" si="2"/>
        <v>----</v>
      </c>
    </row>
    <row r="14" spans="1:10">
      <c r="A14" s="91"/>
      <c r="B14" s="92"/>
      <c r="C14" s="84"/>
      <c r="D14" s="482"/>
      <c r="E14" s="487"/>
      <c r="F14" s="488" t="str">
        <f t="shared" si="0"/>
        <v>----</v>
      </c>
      <c r="G14" s="487"/>
      <c r="H14" s="488" t="str">
        <f t="shared" si="1"/>
        <v>----</v>
      </c>
      <c r="I14" s="485"/>
      <c r="J14" s="85" t="str">
        <f t="shared" si="2"/>
        <v>----</v>
      </c>
    </row>
    <row r="15" spans="1:10">
      <c r="A15" s="88"/>
      <c r="B15" s="101"/>
      <c r="C15" s="82"/>
      <c r="D15" s="436"/>
      <c r="E15" s="476"/>
      <c r="F15" s="477" t="str">
        <f t="shared" si="0"/>
        <v>----</v>
      </c>
      <c r="G15" s="476"/>
      <c r="H15" s="477" t="str">
        <f t="shared" si="1"/>
        <v>----</v>
      </c>
      <c r="I15" s="489"/>
      <c r="J15" s="83" t="str">
        <f t="shared" si="2"/>
        <v>----</v>
      </c>
    </row>
    <row r="16" spans="1:10">
      <c r="A16" s="91"/>
      <c r="B16" s="92"/>
      <c r="C16" s="84"/>
      <c r="D16" s="482"/>
      <c r="E16" s="487"/>
      <c r="F16" s="488" t="str">
        <f t="shared" si="0"/>
        <v>----</v>
      </c>
      <c r="G16" s="487"/>
      <c r="H16" s="488" t="str">
        <f t="shared" si="1"/>
        <v>----</v>
      </c>
      <c r="I16" s="485"/>
      <c r="J16" s="85" t="str">
        <f t="shared" si="2"/>
        <v>----</v>
      </c>
    </row>
    <row r="17" spans="1:10">
      <c r="A17" s="88"/>
      <c r="B17" s="101"/>
      <c r="C17" s="82"/>
      <c r="D17" s="436"/>
      <c r="E17" s="476"/>
      <c r="F17" s="477" t="str">
        <f t="shared" si="0"/>
        <v>----</v>
      </c>
      <c r="G17" s="476"/>
      <c r="H17" s="477" t="str">
        <f t="shared" si="1"/>
        <v>----</v>
      </c>
      <c r="I17" s="489"/>
      <c r="J17" s="83" t="str">
        <f t="shared" si="2"/>
        <v>----</v>
      </c>
    </row>
    <row r="18" spans="1:10">
      <c r="A18" s="91"/>
      <c r="B18" s="92"/>
      <c r="C18" s="84"/>
      <c r="D18" s="482"/>
      <c r="E18" s="487"/>
      <c r="F18" s="488" t="str">
        <f t="shared" si="0"/>
        <v>----</v>
      </c>
      <c r="G18" s="487"/>
      <c r="H18" s="488" t="str">
        <f t="shared" si="1"/>
        <v>----</v>
      </c>
      <c r="I18" s="485"/>
      <c r="J18" s="85" t="str">
        <f t="shared" si="2"/>
        <v>----</v>
      </c>
    </row>
    <row r="19" spans="1:10">
      <c r="A19" s="88"/>
      <c r="B19" s="101"/>
      <c r="C19" s="82"/>
      <c r="D19" s="436"/>
      <c r="E19" s="476"/>
      <c r="F19" s="477" t="str">
        <f t="shared" si="0"/>
        <v>----</v>
      </c>
      <c r="G19" s="476"/>
      <c r="H19" s="477" t="str">
        <f t="shared" si="1"/>
        <v>----</v>
      </c>
      <c r="I19" s="489"/>
      <c r="J19" s="83" t="str">
        <f t="shared" si="2"/>
        <v>----</v>
      </c>
    </row>
    <row r="20" spans="1:10">
      <c r="A20" s="91"/>
      <c r="B20" s="92"/>
      <c r="C20" s="84"/>
      <c r="D20" s="482"/>
      <c r="E20" s="487"/>
      <c r="F20" s="488" t="str">
        <f t="shared" si="0"/>
        <v>----</v>
      </c>
      <c r="G20" s="487"/>
      <c r="H20" s="488" t="str">
        <f t="shared" si="1"/>
        <v>----</v>
      </c>
      <c r="I20" s="485"/>
      <c r="J20" s="85" t="str">
        <f t="shared" si="2"/>
        <v>----</v>
      </c>
    </row>
    <row r="21" spans="1:10" ht="15.75" thickBot="1">
      <c r="A21" s="74"/>
      <c r="B21" s="75"/>
      <c r="C21" s="76"/>
      <c r="D21" s="435"/>
      <c r="E21" s="480"/>
      <c r="F21" s="481" t="str">
        <f t="shared" si="0"/>
        <v>----</v>
      </c>
      <c r="G21" s="480"/>
      <c r="H21" s="481" t="str">
        <f t="shared" si="1"/>
        <v>----</v>
      </c>
      <c r="I21" s="486"/>
      <c r="J21" s="77" t="str">
        <f t="shared" si="2"/>
        <v>----</v>
      </c>
    </row>
    <row r="22" spans="1:10" ht="15.75" thickBot="1">
      <c r="A22" s="27"/>
      <c r="B22" s="27"/>
      <c r="C22" s="28"/>
      <c r="D22" s="28"/>
      <c r="E22" s="444"/>
      <c r="F22" s="446">
        <f>SUM(F4:F21)</f>
        <v>0</v>
      </c>
      <c r="G22" s="444"/>
      <c r="H22" s="446">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K31"/>
  <sheetViews>
    <sheetView workbookViewId="0">
      <selection activeCell="M10" sqref="M10"/>
    </sheetView>
  </sheetViews>
  <sheetFormatPr defaultRowHeight="15"/>
  <cols>
    <col min="2" max="2" width="23.7109375" customWidth="1"/>
    <col min="3" max="3" width="12" bestFit="1" customWidth="1"/>
    <col min="4" max="4" width="12.28515625" customWidth="1"/>
    <col min="5" max="5" width="12" style="437" bestFit="1" customWidth="1"/>
    <col min="6" max="6" width="11.7109375" style="437" customWidth="1"/>
    <col min="7" max="7" width="12" style="437" bestFit="1" customWidth="1"/>
    <col min="8" max="8" width="11.7109375" style="437" customWidth="1"/>
    <col min="9" max="9" width="12" bestFit="1" customWidth="1"/>
    <col min="10" max="10" width="11.7109375" customWidth="1"/>
  </cols>
  <sheetData>
    <row r="1" spans="1:11" ht="15.75" thickBot="1">
      <c r="A1" s="932" t="s">
        <v>133</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43753</v>
      </c>
      <c r="B4" s="71" t="s">
        <v>240</v>
      </c>
      <c r="C4" s="72">
        <v>1729227</v>
      </c>
      <c r="D4" s="434">
        <f>C4</f>
        <v>1729227</v>
      </c>
      <c r="E4" s="474">
        <v>1782029.72</v>
      </c>
      <c r="F4" s="475">
        <f t="shared" ref="F4:F30" si="0">IF(ISBLANK(E4),"----",E4-D4)</f>
        <v>52802.719999999972</v>
      </c>
      <c r="G4" s="474" t="s">
        <v>704</v>
      </c>
      <c r="H4" s="475" t="str">
        <f t="shared" ref="H4:H30" si="1">IF(OR(G4="Complete",ISBLANK(G4)),"----",G4-$D4)</f>
        <v>----</v>
      </c>
      <c r="I4" s="484" t="s">
        <v>704</v>
      </c>
      <c r="J4" s="73" t="str">
        <f t="shared" ref="J4:J30" si="2">IF(OR(I4="Complete",ISBLANK(I4)),"----",I4-$D4)</f>
        <v>----</v>
      </c>
    </row>
    <row r="5" spans="1:11">
      <c r="A5" s="88">
        <v>43942</v>
      </c>
      <c r="B5" s="101" t="s">
        <v>241</v>
      </c>
      <c r="C5" s="82">
        <v>374256.25</v>
      </c>
      <c r="D5" s="436">
        <f>C5</f>
        <v>374256.25</v>
      </c>
      <c r="E5" s="476">
        <v>368238.8</v>
      </c>
      <c r="F5" s="477">
        <f t="shared" si="0"/>
        <v>-6017.4500000000116</v>
      </c>
      <c r="G5" s="476" t="s">
        <v>704</v>
      </c>
      <c r="H5" s="477" t="str">
        <f t="shared" si="1"/>
        <v>----</v>
      </c>
      <c r="I5" s="489" t="s">
        <v>704</v>
      </c>
      <c r="J5" s="83" t="str">
        <f t="shared" si="2"/>
        <v>----</v>
      </c>
    </row>
    <row r="6" spans="1:11">
      <c r="A6" s="102">
        <v>44124</v>
      </c>
      <c r="B6" s="103" t="s">
        <v>317</v>
      </c>
      <c r="C6" s="87">
        <v>728997.45</v>
      </c>
      <c r="D6" s="471">
        <v>373967.45</v>
      </c>
      <c r="E6" s="478"/>
      <c r="F6" s="477" t="str">
        <f t="shared" si="0"/>
        <v>----</v>
      </c>
      <c r="G6" s="478"/>
      <c r="H6" s="477" t="str">
        <f t="shared" si="1"/>
        <v>----</v>
      </c>
      <c r="I6" s="491"/>
      <c r="J6" s="83" t="str">
        <f t="shared" si="2"/>
        <v>----</v>
      </c>
    </row>
    <row r="7" spans="1:11">
      <c r="A7" s="130">
        <v>44761</v>
      </c>
      <c r="B7" s="228" t="s">
        <v>547</v>
      </c>
      <c r="C7" s="229">
        <v>1455608.9</v>
      </c>
      <c r="D7" s="436">
        <f>C7</f>
        <v>1455608.9</v>
      </c>
      <c r="E7" s="590"/>
      <c r="F7" s="477" t="str">
        <f t="shared" si="0"/>
        <v>----</v>
      </c>
      <c r="G7" s="590"/>
      <c r="H7" s="477" t="str">
        <f t="shared" si="1"/>
        <v>----</v>
      </c>
      <c r="I7" s="589"/>
      <c r="J7" s="83" t="str">
        <f t="shared" si="2"/>
        <v>----</v>
      </c>
    </row>
    <row r="8" spans="1:11">
      <c r="A8" s="130">
        <v>44852</v>
      </c>
      <c r="B8" s="228" t="s">
        <v>578</v>
      </c>
      <c r="C8" s="229">
        <v>2857469.91</v>
      </c>
      <c r="D8" s="587">
        <v>1857469.9100000001</v>
      </c>
      <c r="E8" s="590"/>
      <c r="F8" s="477" t="str">
        <f t="shared" si="0"/>
        <v>----</v>
      </c>
      <c r="G8" s="590"/>
      <c r="H8" s="477" t="str">
        <f t="shared" si="1"/>
        <v>----</v>
      </c>
      <c r="I8" s="589"/>
      <c r="J8" s="83" t="str">
        <f t="shared" si="2"/>
        <v>----</v>
      </c>
      <c r="K8" t="s">
        <v>574</v>
      </c>
    </row>
    <row r="9" spans="1:11">
      <c r="A9" s="130">
        <v>45216</v>
      </c>
      <c r="B9" s="228" t="s">
        <v>665</v>
      </c>
      <c r="C9" s="379">
        <v>1704845.85</v>
      </c>
      <c r="D9" s="588">
        <f>C9</f>
        <v>1704845.85</v>
      </c>
      <c r="E9" s="590"/>
      <c r="F9" s="477" t="str">
        <f t="shared" si="0"/>
        <v>----</v>
      </c>
      <c r="G9" s="590"/>
      <c r="H9" s="477" t="str">
        <f t="shared" si="1"/>
        <v>----</v>
      </c>
      <c r="I9" s="589"/>
      <c r="J9" s="83" t="str">
        <f t="shared" si="2"/>
        <v>----</v>
      </c>
    </row>
    <row r="10" spans="1:11">
      <c r="A10" s="130"/>
      <c r="B10" s="228"/>
      <c r="C10" s="229"/>
      <c r="D10" s="587"/>
      <c r="E10" s="590"/>
      <c r="F10" s="477" t="str">
        <f t="shared" si="0"/>
        <v>----</v>
      </c>
      <c r="G10" s="590"/>
      <c r="H10" s="477" t="str">
        <f t="shared" si="1"/>
        <v>----</v>
      </c>
      <c r="I10" s="589"/>
      <c r="J10" s="83" t="str">
        <f t="shared" si="2"/>
        <v>----</v>
      </c>
    </row>
    <row r="11" spans="1:11">
      <c r="A11" s="130"/>
      <c r="B11" s="228"/>
      <c r="C11" s="229"/>
      <c r="D11" s="587"/>
      <c r="E11" s="590"/>
      <c r="F11" s="477" t="str">
        <f t="shared" si="0"/>
        <v>----</v>
      </c>
      <c r="G11" s="590"/>
      <c r="H11" s="477" t="str">
        <f t="shared" si="1"/>
        <v>----</v>
      </c>
      <c r="I11" s="589"/>
      <c r="J11" s="83" t="str">
        <f t="shared" si="2"/>
        <v>----</v>
      </c>
    </row>
    <row r="12" spans="1:11">
      <c r="A12" s="130"/>
      <c r="B12" s="228"/>
      <c r="C12" s="229"/>
      <c r="D12" s="587"/>
      <c r="E12" s="590"/>
      <c r="F12" s="477" t="str">
        <f t="shared" si="0"/>
        <v>----</v>
      </c>
      <c r="G12" s="590"/>
      <c r="H12" s="477" t="str">
        <f t="shared" si="1"/>
        <v>----</v>
      </c>
      <c r="I12" s="589"/>
      <c r="J12" s="83" t="str">
        <f t="shared" si="2"/>
        <v>----</v>
      </c>
    </row>
    <row r="13" spans="1:11">
      <c r="A13" s="130"/>
      <c r="B13" s="228"/>
      <c r="C13" s="229"/>
      <c r="D13" s="587"/>
      <c r="E13" s="590"/>
      <c r="F13" s="477" t="str">
        <f t="shared" si="0"/>
        <v>----</v>
      </c>
      <c r="G13" s="590"/>
      <c r="H13" s="477" t="str">
        <f t="shared" si="1"/>
        <v>----</v>
      </c>
      <c r="I13" s="589"/>
      <c r="J13" s="83" t="str">
        <f t="shared" si="2"/>
        <v>----</v>
      </c>
    </row>
    <row r="14" spans="1:11">
      <c r="A14" s="130"/>
      <c r="B14" s="228"/>
      <c r="C14" s="229"/>
      <c r="D14" s="587"/>
      <c r="E14" s="590"/>
      <c r="F14" s="477" t="str">
        <f t="shared" si="0"/>
        <v>----</v>
      </c>
      <c r="G14" s="590"/>
      <c r="H14" s="477" t="str">
        <f t="shared" si="1"/>
        <v>----</v>
      </c>
      <c r="I14" s="589"/>
      <c r="J14" s="83" t="str">
        <f t="shared" si="2"/>
        <v>----</v>
      </c>
    </row>
    <row r="15" spans="1:11">
      <c r="A15" s="130"/>
      <c r="B15" s="228"/>
      <c r="C15" s="229"/>
      <c r="D15" s="587"/>
      <c r="E15" s="590"/>
      <c r="F15" s="477" t="str">
        <f t="shared" si="0"/>
        <v>----</v>
      </c>
      <c r="G15" s="590"/>
      <c r="H15" s="477" t="str">
        <f t="shared" si="1"/>
        <v>----</v>
      </c>
      <c r="I15" s="589"/>
      <c r="J15" s="83" t="str">
        <f t="shared" si="2"/>
        <v>----</v>
      </c>
    </row>
    <row r="16" spans="1:11">
      <c r="A16" s="130"/>
      <c r="B16" s="228"/>
      <c r="C16" s="229"/>
      <c r="D16" s="587"/>
      <c r="E16" s="590"/>
      <c r="F16" s="477" t="str">
        <f t="shared" si="0"/>
        <v>----</v>
      </c>
      <c r="G16" s="590"/>
      <c r="H16" s="477" t="str">
        <f t="shared" si="1"/>
        <v>----</v>
      </c>
      <c r="I16" s="589"/>
      <c r="J16" s="83" t="str">
        <f t="shared" si="2"/>
        <v>----</v>
      </c>
    </row>
    <row r="17" spans="1:10">
      <c r="A17" s="130"/>
      <c r="B17" s="228"/>
      <c r="C17" s="229"/>
      <c r="D17" s="587"/>
      <c r="E17" s="590"/>
      <c r="F17" s="477" t="str">
        <f t="shared" si="0"/>
        <v>----</v>
      </c>
      <c r="G17" s="590"/>
      <c r="H17" s="477" t="str">
        <f t="shared" si="1"/>
        <v>----</v>
      </c>
      <c r="I17" s="589"/>
      <c r="J17" s="83" t="str">
        <f t="shared" si="2"/>
        <v>----</v>
      </c>
    </row>
    <row r="18" spans="1:10">
      <c r="A18" s="130"/>
      <c r="B18" s="228"/>
      <c r="C18" s="229"/>
      <c r="D18" s="587"/>
      <c r="E18" s="590"/>
      <c r="F18" s="477" t="str">
        <f t="shared" si="0"/>
        <v>----</v>
      </c>
      <c r="G18" s="590"/>
      <c r="H18" s="477" t="str">
        <f t="shared" si="1"/>
        <v>----</v>
      </c>
      <c r="I18" s="589"/>
      <c r="J18" s="83" t="str">
        <f t="shared" si="2"/>
        <v>----</v>
      </c>
    </row>
    <row r="19" spans="1:10">
      <c r="A19" s="130"/>
      <c r="B19" s="228"/>
      <c r="C19" s="229"/>
      <c r="D19" s="587"/>
      <c r="E19" s="590"/>
      <c r="F19" s="477" t="str">
        <f t="shared" si="0"/>
        <v>----</v>
      </c>
      <c r="G19" s="590"/>
      <c r="H19" s="477" t="str">
        <f t="shared" si="1"/>
        <v>----</v>
      </c>
      <c r="I19" s="589"/>
      <c r="J19" s="83" t="str">
        <f t="shared" si="2"/>
        <v>----</v>
      </c>
    </row>
    <row r="20" spans="1:10">
      <c r="A20" s="130"/>
      <c r="B20" s="228"/>
      <c r="C20" s="229"/>
      <c r="D20" s="587"/>
      <c r="E20" s="590"/>
      <c r="F20" s="477" t="str">
        <f t="shared" si="0"/>
        <v>----</v>
      </c>
      <c r="G20" s="590"/>
      <c r="H20" s="477" t="str">
        <f t="shared" si="1"/>
        <v>----</v>
      </c>
      <c r="I20" s="589"/>
      <c r="J20" s="83" t="str">
        <f t="shared" si="2"/>
        <v>----</v>
      </c>
    </row>
    <row r="21" spans="1:10">
      <c r="A21" s="130"/>
      <c r="B21" s="228"/>
      <c r="C21" s="229"/>
      <c r="D21" s="587"/>
      <c r="E21" s="590"/>
      <c r="F21" s="477" t="str">
        <f t="shared" si="0"/>
        <v>----</v>
      </c>
      <c r="G21" s="590"/>
      <c r="H21" s="477" t="str">
        <f t="shared" si="1"/>
        <v>----</v>
      </c>
      <c r="I21" s="589"/>
      <c r="J21" s="83" t="str">
        <f t="shared" si="2"/>
        <v>----</v>
      </c>
    </row>
    <row r="22" spans="1:10">
      <c r="A22" s="130"/>
      <c r="B22" s="228"/>
      <c r="C22" s="229"/>
      <c r="D22" s="587"/>
      <c r="E22" s="590"/>
      <c r="F22" s="477" t="str">
        <f t="shared" si="0"/>
        <v>----</v>
      </c>
      <c r="G22" s="590"/>
      <c r="H22" s="477" t="str">
        <f t="shared" si="1"/>
        <v>----</v>
      </c>
      <c r="I22" s="589"/>
      <c r="J22" s="83" t="str">
        <f t="shared" si="2"/>
        <v>----</v>
      </c>
    </row>
    <row r="23" spans="1:10">
      <c r="A23" s="130"/>
      <c r="B23" s="228"/>
      <c r="C23" s="229"/>
      <c r="D23" s="587"/>
      <c r="E23" s="590"/>
      <c r="F23" s="477" t="str">
        <f t="shared" si="0"/>
        <v>----</v>
      </c>
      <c r="G23" s="590"/>
      <c r="H23" s="477" t="str">
        <f t="shared" si="1"/>
        <v>----</v>
      </c>
      <c r="I23" s="589"/>
      <c r="J23" s="83" t="str">
        <f t="shared" si="2"/>
        <v>----</v>
      </c>
    </row>
    <row r="24" spans="1:10">
      <c r="A24" s="130"/>
      <c r="B24" s="228"/>
      <c r="C24" s="229"/>
      <c r="D24" s="587"/>
      <c r="E24" s="590"/>
      <c r="F24" s="477" t="str">
        <f t="shared" si="0"/>
        <v>----</v>
      </c>
      <c r="G24" s="590"/>
      <c r="H24" s="477" t="str">
        <f t="shared" si="1"/>
        <v>----</v>
      </c>
      <c r="I24" s="589"/>
      <c r="J24" s="83" t="str">
        <f t="shared" si="2"/>
        <v>----</v>
      </c>
    </row>
    <row r="25" spans="1:10">
      <c r="A25" s="130"/>
      <c r="B25" s="228"/>
      <c r="C25" s="229"/>
      <c r="D25" s="587"/>
      <c r="E25" s="590"/>
      <c r="F25" s="477" t="str">
        <f t="shared" si="0"/>
        <v>----</v>
      </c>
      <c r="G25" s="590"/>
      <c r="H25" s="477" t="str">
        <f t="shared" si="1"/>
        <v>----</v>
      </c>
      <c r="I25" s="589"/>
      <c r="J25" s="83" t="str">
        <f t="shared" si="2"/>
        <v>----</v>
      </c>
    </row>
    <row r="26" spans="1:10">
      <c r="A26" s="130"/>
      <c r="B26" s="228"/>
      <c r="C26" s="229"/>
      <c r="D26" s="587"/>
      <c r="E26" s="590"/>
      <c r="F26" s="477" t="str">
        <f t="shared" si="0"/>
        <v>----</v>
      </c>
      <c r="G26" s="590"/>
      <c r="H26" s="477" t="str">
        <f t="shared" si="1"/>
        <v>----</v>
      </c>
      <c r="I26" s="589"/>
      <c r="J26" s="83" t="str">
        <f t="shared" si="2"/>
        <v>----</v>
      </c>
    </row>
    <row r="27" spans="1:10">
      <c r="A27" s="130"/>
      <c r="B27" s="228"/>
      <c r="C27" s="229"/>
      <c r="D27" s="587"/>
      <c r="E27" s="590"/>
      <c r="F27" s="477" t="str">
        <f t="shared" si="0"/>
        <v>----</v>
      </c>
      <c r="G27" s="590"/>
      <c r="H27" s="477" t="str">
        <f t="shared" si="1"/>
        <v>----</v>
      </c>
      <c r="I27" s="589"/>
      <c r="J27" s="83" t="str">
        <f t="shared" si="2"/>
        <v>----</v>
      </c>
    </row>
    <row r="28" spans="1:10">
      <c r="A28" s="130"/>
      <c r="B28" s="228"/>
      <c r="C28" s="229"/>
      <c r="D28" s="587"/>
      <c r="E28" s="590"/>
      <c r="F28" s="477" t="str">
        <f t="shared" si="0"/>
        <v>----</v>
      </c>
      <c r="G28" s="590"/>
      <c r="H28" s="477" t="str">
        <f t="shared" si="1"/>
        <v>----</v>
      </c>
      <c r="I28" s="589"/>
      <c r="J28" s="83" t="str">
        <f t="shared" si="2"/>
        <v>----</v>
      </c>
    </row>
    <row r="29" spans="1:10">
      <c r="A29" s="116"/>
      <c r="B29" s="117"/>
      <c r="C29" s="118"/>
      <c r="D29" s="472"/>
      <c r="E29" s="479"/>
      <c r="F29" s="477" t="str">
        <f t="shared" si="0"/>
        <v>----</v>
      </c>
      <c r="G29" s="479"/>
      <c r="H29" s="477" t="str">
        <f t="shared" si="1"/>
        <v>----</v>
      </c>
      <c r="I29" s="493"/>
      <c r="J29" s="83" t="str">
        <f t="shared" si="2"/>
        <v>----</v>
      </c>
    </row>
    <row r="30" spans="1:10" ht="15.75" thickBot="1">
      <c r="A30" s="74"/>
      <c r="B30" s="75"/>
      <c r="C30" s="76"/>
      <c r="D30" s="435"/>
      <c r="E30" s="480"/>
      <c r="F30" s="481" t="str">
        <f t="shared" si="0"/>
        <v>----</v>
      </c>
      <c r="G30" s="480"/>
      <c r="H30" s="481" t="str">
        <f t="shared" si="1"/>
        <v>----</v>
      </c>
      <c r="I30" s="486"/>
      <c r="J30" s="77" t="str">
        <f t="shared" si="2"/>
        <v>----</v>
      </c>
    </row>
    <row r="31" spans="1:10" ht="15.75" thickBot="1">
      <c r="A31" s="27"/>
      <c r="B31" s="27"/>
      <c r="C31" s="28"/>
      <c r="D31" s="28"/>
      <c r="E31" s="444"/>
      <c r="F31" s="446">
        <f>SUM(F4:F30)</f>
        <v>46785.26999999996</v>
      </c>
      <c r="G31" s="444"/>
      <c r="H31" s="446">
        <f>SUM(H4:H30)</f>
        <v>0</v>
      </c>
      <c r="I31" s="28"/>
      <c r="J31" s="69">
        <f>SUM(J4:J30)</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7" bestFit="1" customWidth="1"/>
    <col min="6" max="6" width="13.85546875" style="437" customWidth="1"/>
    <col min="7" max="7" width="10.7109375" style="437" bestFit="1" customWidth="1"/>
    <col min="8" max="8" width="13.85546875" style="437" customWidth="1"/>
    <col min="9" max="9" width="10.7109375" bestFit="1" customWidth="1"/>
    <col min="10" max="10" width="13.85546875" customWidth="1"/>
  </cols>
  <sheetData>
    <row r="1" spans="1:10" ht="15.75" thickBot="1">
      <c r="A1" s="932" t="s">
        <v>221</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6.5" thickBot="1">
      <c r="A3" s="940"/>
      <c r="B3" s="942"/>
      <c r="C3" s="942"/>
      <c r="D3" s="954"/>
      <c r="E3" s="465" t="s">
        <v>121</v>
      </c>
      <c r="F3" s="473" t="s">
        <v>113</v>
      </c>
      <c r="G3" s="465" t="s">
        <v>121</v>
      </c>
      <c r="H3" s="473" t="s">
        <v>113</v>
      </c>
      <c r="I3" s="483" t="s">
        <v>121</v>
      </c>
      <c r="J3" s="25" t="s">
        <v>113</v>
      </c>
    </row>
    <row r="4" spans="1:10">
      <c r="A4" s="70">
        <v>43879</v>
      </c>
      <c r="B4" s="71" t="s">
        <v>222</v>
      </c>
      <c r="C4" s="72">
        <v>569573.19999999995</v>
      </c>
      <c r="D4" s="434">
        <v>326514.2</v>
      </c>
      <c r="E4" s="474">
        <v>303613.36</v>
      </c>
      <c r="F4" s="475">
        <f t="shared" ref="F4:F20" si="0">IF(ISBLANK(E4),"----",E4-D4)</f>
        <v>-22900.840000000026</v>
      </c>
      <c r="G4" s="474" t="s">
        <v>704</v>
      </c>
      <c r="H4" s="475" t="str">
        <f t="shared" ref="H4:H20" si="1">IF(OR(G4="Complete",ISBLANK(G4)),"----",G4-$D4)</f>
        <v>----</v>
      </c>
      <c r="I4" s="484" t="s">
        <v>704</v>
      </c>
      <c r="J4" s="73" t="str">
        <f t="shared" ref="J4:J20" si="2">IF(OR(I4="Complete",ISBLANK(I4)),"----",I4-$D4)</f>
        <v>----</v>
      </c>
    </row>
    <row r="5" spans="1:10">
      <c r="A5" s="88">
        <v>44306</v>
      </c>
      <c r="B5" s="101" t="s">
        <v>426</v>
      </c>
      <c r="C5" s="82">
        <v>124421.25</v>
      </c>
      <c r="D5" s="436">
        <f>C5</f>
        <v>124421.25</v>
      </c>
      <c r="E5" s="476"/>
      <c r="F5" s="477" t="str">
        <f t="shared" si="0"/>
        <v>----</v>
      </c>
      <c r="G5" s="476"/>
      <c r="H5" s="477" t="str">
        <f t="shared" si="1"/>
        <v>----</v>
      </c>
      <c r="I5" s="489"/>
      <c r="J5" s="83" t="str">
        <f t="shared" si="2"/>
        <v>----</v>
      </c>
    </row>
    <row r="6" spans="1:10">
      <c r="A6" s="102">
        <v>44580</v>
      </c>
      <c r="B6" s="103" t="s">
        <v>493</v>
      </c>
      <c r="C6" s="87">
        <v>295952.5</v>
      </c>
      <c r="D6" s="471">
        <f>C6</f>
        <v>295952.5</v>
      </c>
      <c r="E6" s="478"/>
      <c r="F6" s="490" t="str">
        <f t="shared" si="0"/>
        <v>----</v>
      </c>
      <c r="G6" s="478"/>
      <c r="H6" s="490" t="str">
        <f t="shared" si="1"/>
        <v>----</v>
      </c>
      <c r="I6" s="491"/>
      <c r="J6" s="115" t="str">
        <f t="shared" si="2"/>
        <v>----</v>
      </c>
    </row>
    <row r="7" spans="1:10">
      <c r="A7" s="102">
        <v>45153</v>
      </c>
      <c r="B7" s="103" t="s">
        <v>657</v>
      </c>
      <c r="C7" s="373">
        <v>368905.6</v>
      </c>
      <c r="D7" s="572">
        <f>C7</f>
        <v>368905.6</v>
      </c>
      <c r="E7" s="478"/>
      <c r="F7" s="490" t="str">
        <f t="shared" si="0"/>
        <v>----</v>
      </c>
      <c r="G7" s="478"/>
      <c r="H7" s="490" t="str">
        <f t="shared" si="1"/>
        <v>----</v>
      </c>
      <c r="I7" s="491"/>
      <c r="J7" s="115" t="str">
        <f t="shared" si="2"/>
        <v>----</v>
      </c>
    </row>
    <row r="8" spans="1:10">
      <c r="A8" s="102">
        <v>45153</v>
      </c>
      <c r="B8" s="103" t="s">
        <v>658</v>
      </c>
      <c r="C8" s="373">
        <v>623072.6</v>
      </c>
      <c r="D8" s="572">
        <f>C8</f>
        <v>623072.6</v>
      </c>
      <c r="E8" s="478"/>
      <c r="F8" s="490" t="str">
        <f t="shared" si="0"/>
        <v>----</v>
      </c>
      <c r="G8" s="478"/>
      <c r="H8" s="490" t="str">
        <f t="shared" si="1"/>
        <v>----</v>
      </c>
      <c r="I8" s="491"/>
      <c r="J8" s="115" t="str">
        <f t="shared" si="2"/>
        <v>----</v>
      </c>
    </row>
    <row r="9" spans="1:10">
      <c r="A9" s="102"/>
      <c r="B9" s="103"/>
      <c r="C9" s="87"/>
      <c r="D9" s="471"/>
      <c r="E9" s="478"/>
      <c r="F9" s="490" t="str">
        <f t="shared" si="0"/>
        <v>----</v>
      </c>
      <c r="G9" s="478"/>
      <c r="H9" s="490" t="str">
        <f t="shared" si="1"/>
        <v>----</v>
      </c>
      <c r="I9" s="491"/>
      <c r="J9" s="115" t="str">
        <f t="shared" si="2"/>
        <v>----</v>
      </c>
    </row>
    <row r="10" spans="1:10">
      <c r="A10" s="102"/>
      <c r="B10" s="103"/>
      <c r="C10" s="87"/>
      <c r="D10" s="471"/>
      <c r="E10" s="478"/>
      <c r="F10" s="490" t="str">
        <f t="shared" si="0"/>
        <v>----</v>
      </c>
      <c r="G10" s="478"/>
      <c r="H10" s="490" t="str">
        <f t="shared" si="1"/>
        <v>----</v>
      </c>
      <c r="I10" s="491"/>
      <c r="J10" s="115" t="str">
        <f t="shared" si="2"/>
        <v>----</v>
      </c>
    </row>
    <row r="11" spans="1:10">
      <c r="A11" s="102"/>
      <c r="B11" s="103"/>
      <c r="C11" s="87"/>
      <c r="D11" s="471"/>
      <c r="E11" s="478"/>
      <c r="F11" s="490" t="str">
        <f t="shared" si="0"/>
        <v>----</v>
      </c>
      <c r="G11" s="478"/>
      <c r="H11" s="490" t="str">
        <f t="shared" si="1"/>
        <v>----</v>
      </c>
      <c r="I11" s="491"/>
      <c r="J11" s="115" t="str">
        <f t="shared" si="2"/>
        <v>----</v>
      </c>
    </row>
    <row r="12" spans="1:10">
      <c r="A12" s="102"/>
      <c r="B12" s="103"/>
      <c r="C12" s="87"/>
      <c r="D12" s="471"/>
      <c r="E12" s="478"/>
      <c r="F12" s="490" t="str">
        <f t="shared" si="0"/>
        <v>----</v>
      </c>
      <c r="G12" s="478"/>
      <c r="H12" s="490" t="str">
        <f t="shared" si="1"/>
        <v>----</v>
      </c>
      <c r="I12" s="491"/>
      <c r="J12" s="115" t="str">
        <f t="shared" si="2"/>
        <v>----</v>
      </c>
    </row>
    <row r="13" spans="1:10">
      <c r="A13" s="102"/>
      <c r="B13" s="103"/>
      <c r="C13" s="87"/>
      <c r="D13" s="471"/>
      <c r="E13" s="478"/>
      <c r="F13" s="490" t="str">
        <f t="shared" si="0"/>
        <v>----</v>
      </c>
      <c r="G13" s="478"/>
      <c r="H13" s="490" t="str">
        <f t="shared" si="1"/>
        <v>----</v>
      </c>
      <c r="I13" s="491"/>
      <c r="J13" s="115" t="str">
        <f t="shared" si="2"/>
        <v>----</v>
      </c>
    </row>
    <row r="14" spans="1:10">
      <c r="A14" s="102"/>
      <c r="B14" s="103"/>
      <c r="C14" s="87"/>
      <c r="D14" s="471"/>
      <c r="E14" s="478"/>
      <c r="F14" s="490" t="str">
        <f t="shared" si="0"/>
        <v>----</v>
      </c>
      <c r="G14" s="478"/>
      <c r="H14" s="490" t="str">
        <f t="shared" si="1"/>
        <v>----</v>
      </c>
      <c r="I14" s="491"/>
      <c r="J14" s="115" t="str">
        <f t="shared" si="2"/>
        <v>----</v>
      </c>
    </row>
    <row r="15" spans="1:10">
      <c r="A15" s="102"/>
      <c r="B15" s="103"/>
      <c r="C15" s="87"/>
      <c r="D15" s="471"/>
      <c r="E15" s="478"/>
      <c r="F15" s="490" t="str">
        <f t="shared" si="0"/>
        <v>----</v>
      </c>
      <c r="G15" s="478"/>
      <c r="H15" s="490" t="str">
        <f t="shared" si="1"/>
        <v>----</v>
      </c>
      <c r="I15" s="491"/>
      <c r="J15" s="115" t="str">
        <f t="shared" si="2"/>
        <v>----</v>
      </c>
    </row>
    <row r="16" spans="1:10">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02"/>
      <c r="B18" s="103"/>
      <c r="C18" s="87"/>
      <c r="D18" s="471"/>
      <c r="E18" s="478"/>
      <c r="F18" s="490" t="str">
        <f t="shared" si="0"/>
        <v>----</v>
      </c>
      <c r="G18" s="478"/>
      <c r="H18" s="490" t="str">
        <f t="shared" si="1"/>
        <v>----</v>
      </c>
      <c r="I18" s="491"/>
      <c r="J18" s="115" t="str">
        <f t="shared" si="2"/>
        <v>----</v>
      </c>
    </row>
    <row r="19" spans="1:10">
      <c r="A19" s="116"/>
      <c r="B19" s="117"/>
      <c r="C19" s="118"/>
      <c r="D19" s="472"/>
      <c r="E19" s="479"/>
      <c r="F19" s="492" t="str">
        <f t="shared" si="0"/>
        <v>----</v>
      </c>
      <c r="G19" s="479"/>
      <c r="H19" s="492" t="str">
        <f t="shared" si="1"/>
        <v>----</v>
      </c>
      <c r="I19" s="493"/>
      <c r="J19" s="119" t="str">
        <f t="shared" si="2"/>
        <v>----</v>
      </c>
    </row>
    <row r="20" spans="1:10" ht="15.75" thickBot="1">
      <c r="A20" s="74"/>
      <c r="B20" s="75"/>
      <c r="C20" s="76"/>
      <c r="D20" s="435"/>
      <c r="E20" s="480"/>
      <c r="F20" s="481" t="str">
        <f t="shared" si="0"/>
        <v>----</v>
      </c>
      <c r="G20" s="480"/>
      <c r="H20" s="481" t="str">
        <f t="shared" si="1"/>
        <v>----</v>
      </c>
      <c r="I20" s="486"/>
      <c r="J20" s="77" t="str">
        <f t="shared" si="2"/>
        <v>----</v>
      </c>
    </row>
    <row r="21" spans="1:10" ht="15.75" thickBot="1">
      <c r="A21" s="27"/>
      <c r="B21" s="27"/>
      <c r="C21" s="28"/>
      <c r="D21" s="28"/>
      <c r="E21" s="444"/>
      <c r="F21" s="446">
        <f>SUM(F4:F20)</f>
        <v>-22900.840000000026</v>
      </c>
      <c r="G21" s="444"/>
      <c r="H21" s="446">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7" bestFit="1" customWidth="1"/>
    <col min="6" max="6" width="11.42578125" style="437" customWidth="1"/>
    <col min="7" max="7" width="10.7109375" style="437" bestFit="1" customWidth="1"/>
    <col min="8" max="8" width="11.42578125" style="437" customWidth="1"/>
    <col min="9" max="9" width="10.7109375" bestFit="1" customWidth="1"/>
    <col min="10" max="10" width="11.42578125" customWidth="1"/>
  </cols>
  <sheetData>
    <row r="1" spans="1:10" ht="15.75" thickBot="1">
      <c r="A1" s="932" t="s">
        <v>126</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43970</v>
      </c>
      <c r="B4" s="71" t="s">
        <v>116</v>
      </c>
      <c r="C4" s="72">
        <v>491300.55</v>
      </c>
      <c r="D4" s="434">
        <f>C4</f>
        <v>491300.55</v>
      </c>
      <c r="E4" s="474">
        <v>494435.83</v>
      </c>
      <c r="F4" s="475">
        <f t="shared" ref="F4:F18" si="0">IF(ISBLANK(E4),"----",E4-D4)</f>
        <v>3135.2800000000279</v>
      </c>
      <c r="G4" s="474" t="s">
        <v>704</v>
      </c>
      <c r="H4" s="475" t="str">
        <f t="shared" ref="H4:H18" si="1">IF(OR(G4="Complete",ISBLANK(G4)),"----",G4-$D4)</f>
        <v>----</v>
      </c>
      <c r="I4" s="484" t="s">
        <v>704</v>
      </c>
      <c r="J4" s="73" t="str">
        <f t="shared" ref="J4:J18" si="2">IF(OR(I4="Complete",ISBLANK(I4)),"----",I4-$D4)</f>
        <v>----</v>
      </c>
    </row>
    <row r="5" spans="1:10">
      <c r="A5" s="88">
        <v>44698</v>
      </c>
      <c r="B5" s="101" t="s">
        <v>519</v>
      </c>
      <c r="C5" s="118">
        <v>724856.94</v>
      </c>
      <c r="D5" s="436">
        <f>C5</f>
        <v>724856.94</v>
      </c>
      <c r="E5" s="476"/>
      <c r="F5" s="477" t="str">
        <f t="shared" si="0"/>
        <v>----</v>
      </c>
      <c r="G5" s="476">
        <v>732290.18</v>
      </c>
      <c r="H5" s="477">
        <f t="shared" si="1"/>
        <v>7433.2400000001071</v>
      </c>
      <c r="I5" s="489" t="s">
        <v>704</v>
      </c>
      <c r="J5" s="83" t="str">
        <f t="shared" si="2"/>
        <v>----</v>
      </c>
    </row>
    <row r="6" spans="1:10">
      <c r="A6" s="102">
        <v>45615</v>
      </c>
      <c r="B6" s="455" t="s">
        <v>782</v>
      </c>
      <c r="C6" s="373">
        <v>693184</v>
      </c>
      <c r="D6" s="572">
        <v>691184</v>
      </c>
      <c r="E6" s="478"/>
      <c r="F6" s="490" t="str">
        <f t="shared" si="0"/>
        <v>----</v>
      </c>
      <c r="G6" s="478"/>
      <c r="H6" s="490" t="str">
        <f t="shared" si="1"/>
        <v>----</v>
      </c>
      <c r="I6" s="491"/>
      <c r="J6" s="115" t="str">
        <f t="shared" si="2"/>
        <v>----</v>
      </c>
    </row>
    <row r="7" spans="1:10">
      <c r="A7" s="102"/>
      <c r="B7" s="103"/>
      <c r="C7" s="373"/>
      <c r="D7" s="572"/>
      <c r="E7" s="478"/>
      <c r="F7" s="490" t="str">
        <f t="shared" si="0"/>
        <v>----</v>
      </c>
      <c r="G7" s="478"/>
      <c r="H7" s="490" t="str">
        <f t="shared" si="1"/>
        <v>----</v>
      </c>
      <c r="I7" s="491"/>
      <c r="J7" s="115" t="str">
        <f t="shared" si="2"/>
        <v>----</v>
      </c>
    </row>
    <row r="8" spans="1:10">
      <c r="A8" s="102"/>
      <c r="B8" s="103"/>
      <c r="C8" s="373"/>
      <c r="D8" s="572"/>
      <c r="E8" s="478"/>
      <c r="F8" s="490" t="str">
        <f t="shared" si="0"/>
        <v>----</v>
      </c>
      <c r="G8" s="478"/>
      <c r="H8" s="490" t="str">
        <f t="shared" si="1"/>
        <v>----</v>
      </c>
      <c r="I8" s="491"/>
      <c r="J8" s="115" t="str">
        <f t="shared" si="2"/>
        <v>----</v>
      </c>
    </row>
    <row r="9" spans="1:10">
      <c r="A9" s="102"/>
      <c r="B9" s="103"/>
      <c r="C9" s="373"/>
      <c r="D9" s="572"/>
      <c r="E9" s="478"/>
      <c r="F9" s="490" t="str">
        <f t="shared" si="0"/>
        <v>----</v>
      </c>
      <c r="G9" s="478"/>
      <c r="H9" s="490" t="str">
        <f t="shared" si="1"/>
        <v>----</v>
      </c>
      <c r="I9" s="491"/>
      <c r="J9" s="115" t="str">
        <f t="shared" si="2"/>
        <v>----</v>
      </c>
    </row>
    <row r="10" spans="1:10">
      <c r="A10" s="102"/>
      <c r="B10" s="103"/>
      <c r="C10" s="373"/>
      <c r="D10" s="572"/>
      <c r="E10" s="478"/>
      <c r="F10" s="490" t="str">
        <f t="shared" si="0"/>
        <v>----</v>
      </c>
      <c r="G10" s="478"/>
      <c r="H10" s="490" t="str">
        <f t="shared" si="1"/>
        <v>----</v>
      </c>
      <c r="I10" s="491"/>
      <c r="J10" s="115" t="str">
        <f t="shared" si="2"/>
        <v>----</v>
      </c>
    </row>
    <row r="11" spans="1:10">
      <c r="A11" s="102"/>
      <c r="B11" s="103"/>
      <c r="C11" s="373"/>
      <c r="D11" s="572"/>
      <c r="E11" s="478"/>
      <c r="F11" s="490" t="str">
        <f t="shared" si="0"/>
        <v>----</v>
      </c>
      <c r="G11" s="478"/>
      <c r="H11" s="490" t="str">
        <f t="shared" si="1"/>
        <v>----</v>
      </c>
      <c r="I11" s="491"/>
      <c r="J11" s="115" t="str">
        <f t="shared" si="2"/>
        <v>----</v>
      </c>
    </row>
    <row r="12" spans="1:10">
      <c r="A12" s="102"/>
      <c r="B12" s="103"/>
      <c r="C12" s="373"/>
      <c r="D12" s="572"/>
      <c r="E12" s="478"/>
      <c r="F12" s="490" t="str">
        <f t="shared" si="0"/>
        <v>----</v>
      </c>
      <c r="G12" s="478"/>
      <c r="H12" s="490" t="str">
        <f t="shared" si="1"/>
        <v>----</v>
      </c>
      <c r="I12" s="491"/>
      <c r="J12" s="115" t="str">
        <f t="shared" si="2"/>
        <v>----</v>
      </c>
    </row>
    <row r="13" spans="1:10">
      <c r="A13" s="102"/>
      <c r="B13" s="103"/>
      <c r="C13" s="373"/>
      <c r="D13" s="572"/>
      <c r="E13" s="478"/>
      <c r="F13" s="490" t="str">
        <f t="shared" si="0"/>
        <v>----</v>
      </c>
      <c r="G13" s="478"/>
      <c r="H13" s="490" t="str">
        <f t="shared" si="1"/>
        <v>----</v>
      </c>
      <c r="I13" s="491"/>
      <c r="J13" s="115" t="str">
        <f t="shared" si="2"/>
        <v>----</v>
      </c>
    </row>
    <row r="14" spans="1:10">
      <c r="A14" s="102"/>
      <c r="B14" s="103"/>
      <c r="C14" s="373"/>
      <c r="D14" s="572"/>
      <c r="E14" s="478"/>
      <c r="F14" s="490" t="str">
        <f t="shared" si="0"/>
        <v>----</v>
      </c>
      <c r="G14" s="478"/>
      <c r="H14" s="490" t="str">
        <f t="shared" si="1"/>
        <v>----</v>
      </c>
      <c r="I14" s="491"/>
      <c r="J14" s="115" t="str">
        <f t="shared" si="2"/>
        <v>----</v>
      </c>
    </row>
    <row r="15" spans="1:10">
      <c r="A15" s="102"/>
      <c r="B15" s="103"/>
      <c r="C15" s="373"/>
      <c r="D15" s="572"/>
      <c r="E15" s="478"/>
      <c r="F15" s="490" t="str">
        <f t="shared" si="0"/>
        <v>----</v>
      </c>
      <c r="G15" s="478"/>
      <c r="H15" s="490" t="str">
        <f t="shared" si="1"/>
        <v>----</v>
      </c>
      <c r="I15" s="491"/>
      <c r="J15" s="115" t="str">
        <f t="shared" si="2"/>
        <v>----</v>
      </c>
    </row>
    <row r="16" spans="1:10">
      <c r="A16" s="102"/>
      <c r="B16" s="103"/>
      <c r="C16" s="373"/>
      <c r="D16" s="572"/>
      <c r="E16" s="478"/>
      <c r="F16" s="490" t="str">
        <f t="shared" si="0"/>
        <v>----</v>
      </c>
      <c r="G16" s="478"/>
      <c r="H16" s="490" t="str">
        <f t="shared" si="1"/>
        <v>----</v>
      </c>
      <c r="I16" s="491"/>
      <c r="J16" s="115" t="str">
        <f t="shared" si="2"/>
        <v>----</v>
      </c>
    </row>
    <row r="17" spans="1:10">
      <c r="A17" s="116"/>
      <c r="B17" s="117"/>
      <c r="C17" s="617"/>
      <c r="D17" s="618"/>
      <c r="E17" s="479"/>
      <c r="F17" s="492" t="str">
        <f t="shared" si="0"/>
        <v>----</v>
      </c>
      <c r="G17" s="479"/>
      <c r="H17" s="492" t="str">
        <f t="shared" si="1"/>
        <v>----</v>
      </c>
      <c r="I17" s="493"/>
      <c r="J17" s="119" t="str">
        <f t="shared" si="2"/>
        <v>----</v>
      </c>
    </row>
    <row r="18" spans="1:10" ht="15.75" thickBot="1">
      <c r="A18" s="74"/>
      <c r="B18" s="75"/>
      <c r="C18" s="376"/>
      <c r="D18" s="536"/>
      <c r="E18" s="480"/>
      <c r="F18" s="481" t="str">
        <f t="shared" si="0"/>
        <v>----</v>
      </c>
      <c r="G18" s="480"/>
      <c r="H18" s="481" t="str">
        <f t="shared" si="1"/>
        <v>----</v>
      </c>
      <c r="I18" s="486"/>
      <c r="J18" s="77" t="str">
        <f t="shared" si="2"/>
        <v>----</v>
      </c>
    </row>
    <row r="19" spans="1:10" ht="15.75" thickBot="1">
      <c r="A19" s="27"/>
      <c r="B19" s="27"/>
      <c r="C19" s="28"/>
      <c r="D19" s="28"/>
      <c r="E19" s="444"/>
      <c r="F19" s="446">
        <f>SUM(F4:F18)</f>
        <v>3135.2800000000279</v>
      </c>
      <c r="G19" s="444"/>
      <c r="H19" s="446">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L12" sqref="L12"/>
    </sheetView>
  </sheetViews>
  <sheetFormatPr defaultRowHeight="15"/>
  <cols>
    <col min="2" max="2" width="22" bestFit="1" customWidth="1"/>
    <col min="3" max="4" width="10.7109375" bestFit="1" customWidth="1"/>
    <col min="5" max="8" width="9.140625" style="437"/>
  </cols>
  <sheetData>
    <row r="1" spans="1:11" ht="15.75" thickBot="1">
      <c r="A1" s="932" t="s">
        <v>280</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69" thickBot="1">
      <c r="A3" s="940"/>
      <c r="B3" s="942"/>
      <c r="C3" s="942"/>
      <c r="D3" s="954"/>
      <c r="E3" s="465" t="s">
        <v>121</v>
      </c>
      <c r="F3" s="473" t="s">
        <v>113</v>
      </c>
      <c r="G3" s="465" t="s">
        <v>121</v>
      </c>
      <c r="H3" s="473" t="s">
        <v>113</v>
      </c>
      <c r="I3" s="483" t="s">
        <v>121</v>
      </c>
      <c r="J3" s="25" t="s">
        <v>113</v>
      </c>
    </row>
    <row r="4" spans="1:11">
      <c r="A4" s="70">
        <v>44580</v>
      </c>
      <c r="B4" s="71" t="s">
        <v>494</v>
      </c>
      <c r="C4" s="72">
        <v>700131.29</v>
      </c>
      <c r="D4" s="434">
        <f>C4</f>
        <v>700131.29</v>
      </c>
      <c r="E4" s="474"/>
      <c r="F4" s="475" t="str">
        <f t="shared" ref="F4:F24" si="0">IF(ISBLANK(E4),"----",E4-D4)</f>
        <v>----</v>
      </c>
      <c r="G4" s="474"/>
      <c r="H4" s="475" t="str">
        <f t="shared" ref="H4:H24" si="1">IF(OR(G4="Complete",ISBLANK(G4)),"----",G4-$D4)</f>
        <v>----</v>
      </c>
      <c r="I4" s="484"/>
      <c r="J4" s="73" t="str">
        <f t="shared" ref="J4:J24" si="2">IF(OR(I4="Complete",ISBLANK(I4)),"----",I4-$D4)</f>
        <v>----</v>
      </c>
    </row>
    <row r="5" spans="1:11">
      <c r="A5" s="414">
        <v>45251</v>
      </c>
      <c r="B5" s="415" t="s">
        <v>684</v>
      </c>
      <c r="C5" s="416">
        <f>816588.74/2</f>
        <v>408294.37</v>
      </c>
      <c r="D5" s="482">
        <f>(C5*2-41530)/2</f>
        <v>387529.37</v>
      </c>
      <c r="E5" s="487"/>
      <c r="F5" s="488" t="str">
        <f t="shared" si="0"/>
        <v>----</v>
      </c>
      <c r="G5" s="487"/>
      <c r="H5" s="488" t="str">
        <f t="shared" si="1"/>
        <v>----</v>
      </c>
      <c r="I5" s="485"/>
      <c r="J5" s="85" t="str">
        <f t="shared" si="2"/>
        <v>----</v>
      </c>
      <c r="K5" s="417" t="s">
        <v>685</v>
      </c>
    </row>
    <row r="6" spans="1:11">
      <c r="A6" s="88">
        <v>45461</v>
      </c>
      <c r="B6" s="453" t="s">
        <v>757</v>
      </c>
      <c r="C6" s="462">
        <v>330823.25</v>
      </c>
      <c r="D6" s="512">
        <f>C6</f>
        <v>330823.25</v>
      </c>
      <c r="E6" s="600"/>
      <c r="F6" s="601" t="str">
        <f t="shared" si="0"/>
        <v>----</v>
      </c>
      <c r="G6" s="600"/>
      <c r="H6" s="601" t="str">
        <f t="shared" si="1"/>
        <v>----</v>
      </c>
      <c r="I6" s="602"/>
      <c r="J6" s="603" t="str">
        <f t="shared" si="2"/>
        <v>----</v>
      </c>
    </row>
    <row r="7" spans="1:11">
      <c r="A7" s="91">
        <v>45461</v>
      </c>
      <c r="B7" s="415" t="s">
        <v>758</v>
      </c>
      <c r="C7" s="619">
        <v>266587.44</v>
      </c>
      <c r="D7" s="620">
        <f>C7</f>
        <v>266587.44</v>
      </c>
      <c r="E7" s="621"/>
      <c r="F7" s="622" t="str">
        <f t="shared" si="0"/>
        <v>----</v>
      </c>
      <c r="G7" s="621"/>
      <c r="H7" s="622" t="str">
        <f t="shared" si="1"/>
        <v>----</v>
      </c>
      <c r="I7" s="623"/>
      <c r="J7" s="624" t="str">
        <f t="shared" si="2"/>
        <v>----</v>
      </c>
    </row>
    <row r="8" spans="1:11">
      <c r="A8" s="88"/>
      <c r="B8" s="101"/>
      <c r="C8" s="462"/>
      <c r="D8" s="512"/>
      <c r="E8" s="600"/>
      <c r="F8" s="601" t="str">
        <f t="shared" si="0"/>
        <v>----</v>
      </c>
      <c r="G8" s="600"/>
      <c r="H8" s="601" t="str">
        <f t="shared" si="1"/>
        <v>----</v>
      </c>
      <c r="I8" s="602"/>
      <c r="J8" s="603" t="str">
        <f t="shared" si="2"/>
        <v>----</v>
      </c>
    </row>
    <row r="9" spans="1:11">
      <c r="A9" s="91"/>
      <c r="B9" s="92"/>
      <c r="C9" s="619"/>
      <c r="D9" s="620"/>
      <c r="E9" s="621"/>
      <c r="F9" s="622" t="str">
        <f t="shared" si="0"/>
        <v>----</v>
      </c>
      <c r="G9" s="621"/>
      <c r="H9" s="622" t="str">
        <f t="shared" si="1"/>
        <v>----</v>
      </c>
      <c r="I9" s="623"/>
      <c r="J9" s="624" t="str">
        <f t="shared" si="2"/>
        <v>----</v>
      </c>
    </row>
    <row r="10" spans="1:11">
      <c r="A10" s="88"/>
      <c r="B10" s="101"/>
      <c r="C10" s="462"/>
      <c r="D10" s="512"/>
      <c r="E10" s="600"/>
      <c r="F10" s="601" t="str">
        <f t="shared" si="0"/>
        <v>----</v>
      </c>
      <c r="G10" s="600"/>
      <c r="H10" s="601" t="str">
        <f t="shared" si="1"/>
        <v>----</v>
      </c>
      <c r="I10" s="602"/>
      <c r="J10" s="603" t="str">
        <f t="shared" si="2"/>
        <v>----</v>
      </c>
    </row>
    <row r="11" spans="1:11">
      <c r="A11" s="91"/>
      <c r="B11" s="92"/>
      <c r="C11" s="619"/>
      <c r="D11" s="620"/>
      <c r="E11" s="621"/>
      <c r="F11" s="622" t="str">
        <f t="shared" si="0"/>
        <v>----</v>
      </c>
      <c r="G11" s="621"/>
      <c r="H11" s="622" t="str">
        <f t="shared" si="1"/>
        <v>----</v>
      </c>
      <c r="I11" s="623"/>
      <c r="J11" s="624" t="str">
        <f t="shared" si="2"/>
        <v>----</v>
      </c>
    </row>
    <row r="12" spans="1:11">
      <c r="A12" s="88"/>
      <c r="B12" s="101"/>
      <c r="C12" s="462"/>
      <c r="D12" s="512"/>
      <c r="E12" s="600"/>
      <c r="F12" s="601" t="str">
        <f t="shared" si="0"/>
        <v>----</v>
      </c>
      <c r="G12" s="600"/>
      <c r="H12" s="601" t="str">
        <f t="shared" si="1"/>
        <v>----</v>
      </c>
      <c r="I12" s="602"/>
      <c r="J12" s="603" t="str">
        <f t="shared" si="2"/>
        <v>----</v>
      </c>
    </row>
    <row r="13" spans="1:11">
      <c r="A13" s="91"/>
      <c r="B13" s="92"/>
      <c r="C13" s="619"/>
      <c r="D13" s="620"/>
      <c r="E13" s="621"/>
      <c r="F13" s="622" t="str">
        <f t="shared" si="0"/>
        <v>----</v>
      </c>
      <c r="G13" s="621"/>
      <c r="H13" s="622" t="str">
        <f t="shared" si="1"/>
        <v>----</v>
      </c>
      <c r="I13" s="623"/>
      <c r="J13" s="624" t="str">
        <f t="shared" si="2"/>
        <v>----</v>
      </c>
    </row>
    <row r="14" spans="1:11">
      <c r="A14" s="88"/>
      <c r="B14" s="101"/>
      <c r="C14" s="462"/>
      <c r="D14" s="512"/>
      <c r="E14" s="600"/>
      <c r="F14" s="601" t="str">
        <f t="shared" si="0"/>
        <v>----</v>
      </c>
      <c r="G14" s="600"/>
      <c r="H14" s="601" t="str">
        <f t="shared" si="1"/>
        <v>----</v>
      </c>
      <c r="I14" s="602"/>
      <c r="J14" s="603" t="str">
        <f t="shared" si="2"/>
        <v>----</v>
      </c>
    </row>
    <row r="15" spans="1:11">
      <c r="A15" s="91"/>
      <c r="B15" s="92"/>
      <c r="C15" s="619"/>
      <c r="D15" s="620"/>
      <c r="E15" s="621"/>
      <c r="F15" s="622" t="str">
        <f t="shared" si="0"/>
        <v>----</v>
      </c>
      <c r="G15" s="621"/>
      <c r="H15" s="622" t="str">
        <f t="shared" si="1"/>
        <v>----</v>
      </c>
      <c r="I15" s="623"/>
      <c r="J15" s="624" t="str">
        <f t="shared" si="2"/>
        <v>----</v>
      </c>
    </row>
    <row r="16" spans="1:11">
      <c r="A16" s="88"/>
      <c r="B16" s="101"/>
      <c r="C16" s="462"/>
      <c r="D16" s="512"/>
      <c r="E16" s="600"/>
      <c r="F16" s="601" t="str">
        <f t="shared" si="0"/>
        <v>----</v>
      </c>
      <c r="G16" s="600"/>
      <c r="H16" s="601" t="str">
        <f t="shared" si="1"/>
        <v>----</v>
      </c>
      <c r="I16" s="602"/>
      <c r="J16" s="603" t="str">
        <f t="shared" si="2"/>
        <v>----</v>
      </c>
    </row>
    <row r="17" spans="1:10">
      <c r="A17" s="91"/>
      <c r="B17" s="92"/>
      <c r="C17" s="619"/>
      <c r="D17" s="620"/>
      <c r="E17" s="621"/>
      <c r="F17" s="622" t="str">
        <f t="shared" si="0"/>
        <v>----</v>
      </c>
      <c r="G17" s="621"/>
      <c r="H17" s="622" t="str">
        <f t="shared" si="1"/>
        <v>----</v>
      </c>
      <c r="I17" s="623"/>
      <c r="J17" s="624" t="str">
        <f t="shared" si="2"/>
        <v>----</v>
      </c>
    </row>
    <row r="18" spans="1:10">
      <c r="A18" s="88"/>
      <c r="B18" s="101"/>
      <c r="C18" s="462"/>
      <c r="D18" s="512"/>
      <c r="E18" s="600"/>
      <c r="F18" s="601" t="str">
        <f t="shared" si="0"/>
        <v>----</v>
      </c>
      <c r="G18" s="600"/>
      <c r="H18" s="601" t="str">
        <f t="shared" si="1"/>
        <v>----</v>
      </c>
      <c r="I18" s="602"/>
      <c r="J18" s="603" t="str">
        <f t="shared" si="2"/>
        <v>----</v>
      </c>
    </row>
    <row r="19" spans="1:10">
      <c r="A19" s="91"/>
      <c r="B19" s="92"/>
      <c r="C19" s="619"/>
      <c r="D19" s="620"/>
      <c r="E19" s="621"/>
      <c r="F19" s="622" t="str">
        <f t="shared" si="0"/>
        <v>----</v>
      </c>
      <c r="G19" s="621"/>
      <c r="H19" s="622" t="str">
        <f t="shared" si="1"/>
        <v>----</v>
      </c>
      <c r="I19" s="623"/>
      <c r="J19" s="624" t="str">
        <f t="shared" si="2"/>
        <v>----</v>
      </c>
    </row>
    <row r="20" spans="1:10">
      <c r="A20" s="88"/>
      <c r="B20" s="101"/>
      <c r="C20" s="462"/>
      <c r="D20" s="512"/>
      <c r="E20" s="600"/>
      <c r="F20" s="601" t="str">
        <f t="shared" si="0"/>
        <v>----</v>
      </c>
      <c r="G20" s="600"/>
      <c r="H20" s="601" t="str">
        <f t="shared" si="1"/>
        <v>----</v>
      </c>
      <c r="I20" s="602"/>
      <c r="J20" s="603" t="str">
        <f t="shared" si="2"/>
        <v>----</v>
      </c>
    </row>
    <row r="21" spans="1:10">
      <c r="A21" s="91"/>
      <c r="B21" s="92"/>
      <c r="C21" s="619"/>
      <c r="D21" s="620"/>
      <c r="E21" s="621"/>
      <c r="F21" s="622" t="str">
        <f t="shared" si="0"/>
        <v>----</v>
      </c>
      <c r="G21" s="621"/>
      <c r="H21" s="622" t="str">
        <f t="shared" si="1"/>
        <v>----</v>
      </c>
      <c r="I21" s="623"/>
      <c r="J21" s="624" t="str">
        <f t="shared" si="2"/>
        <v>----</v>
      </c>
    </row>
    <row r="22" spans="1:10">
      <c r="A22" s="88"/>
      <c r="B22" s="101"/>
      <c r="C22" s="462"/>
      <c r="D22" s="512"/>
      <c r="E22" s="600"/>
      <c r="F22" s="601" t="str">
        <f t="shared" si="0"/>
        <v>----</v>
      </c>
      <c r="G22" s="600"/>
      <c r="H22" s="601" t="str">
        <f t="shared" si="1"/>
        <v>----</v>
      </c>
      <c r="I22" s="602"/>
      <c r="J22" s="603" t="str">
        <f t="shared" si="2"/>
        <v>----</v>
      </c>
    </row>
    <row r="23" spans="1:10">
      <c r="A23" s="91"/>
      <c r="B23" s="92"/>
      <c r="C23" s="619"/>
      <c r="D23" s="620"/>
      <c r="E23" s="621"/>
      <c r="F23" s="622" t="str">
        <f t="shared" si="0"/>
        <v>----</v>
      </c>
      <c r="G23" s="621"/>
      <c r="H23" s="622" t="str">
        <f t="shared" si="1"/>
        <v>----</v>
      </c>
      <c r="I23" s="623"/>
      <c r="J23" s="624" t="str">
        <f t="shared" si="2"/>
        <v>----</v>
      </c>
    </row>
    <row r="24" spans="1:10" ht="15.75" thickBot="1">
      <c r="A24" s="74"/>
      <c r="B24" s="75"/>
      <c r="C24" s="376"/>
      <c r="D24" s="536"/>
      <c r="E24" s="625"/>
      <c r="F24" s="626" t="str">
        <f t="shared" si="0"/>
        <v>----</v>
      </c>
      <c r="G24" s="625"/>
      <c r="H24" s="626" t="str">
        <f t="shared" si="1"/>
        <v>----</v>
      </c>
      <c r="I24" s="627"/>
      <c r="J24" s="628" t="str">
        <f t="shared" si="2"/>
        <v>----</v>
      </c>
    </row>
    <row r="25" spans="1:10" ht="15.75" thickBot="1">
      <c r="A25" s="27"/>
      <c r="B25" s="27"/>
      <c r="C25" s="28"/>
      <c r="D25" s="28"/>
      <c r="E25" s="444"/>
      <c r="F25" s="446">
        <f>SUM(F4:F24)</f>
        <v>0</v>
      </c>
      <c r="G25" s="444"/>
      <c r="H25" s="446">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7" customWidth="1"/>
    <col min="6" max="6" width="9.85546875" style="437" bestFit="1" customWidth="1"/>
    <col min="7" max="7" width="12.28515625" style="437" customWidth="1"/>
    <col min="8" max="8" width="9.85546875" style="437" bestFit="1" customWidth="1"/>
    <col min="9" max="9" width="12.28515625" customWidth="1"/>
    <col min="10" max="10" width="9.85546875" bestFit="1" customWidth="1"/>
  </cols>
  <sheetData>
    <row r="1" spans="1:10" ht="15.75" thickBot="1">
      <c r="A1" s="932" t="s">
        <v>172</v>
      </c>
      <c r="B1" s="933"/>
      <c r="C1" s="933"/>
      <c r="D1" s="933"/>
      <c r="E1" s="933"/>
      <c r="F1" s="933"/>
      <c r="G1" s="933"/>
      <c r="H1" s="933"/>
      <c r="I1" s="933"/>
      <c r="J1" s="934"/>
    </row>
    <row r="2" spans="1:10" s="437" customFormat="1" ht="15" customHeight="1">
      <c r="A2" s="939" t="s">
        <v>110</v>
      </c>
      <c r="B2" s="941" t="s">
        <v>111</v>
      </c>
      <c r="C2" s="941" t="s">
        <v>112</v>
      </c>
      <c r="D2" s="943" t="s">
        <v>120</v>
      </c>
      <c r="E2" s="937" t="s">
        <v>702</v>
      </c>
      <c r="F2" s="938"/>
      <c r="G2" s="937" t="s">
        <v>703</v>
      </c>
      <c r="H2" s="938"/>
      <c r="I2" s="912" t="s">
        <v>801</v>
      </c>
      <c r="J2" s="913"/>
    </row>
    <row r="3" spans="1:10" ht="57.75" thickBot="1">
      <c r="A3" s="940"/>
      <c r="B3" s="942"/>
      <c r="C3" s="942"/>
      <c r="D3" s="944"/>
      <c r="E3" s="465" t="s">
        <v>121</v>
      </c>
      <c r="F3" s="473" t="s">
        <v>705</v>
      </c>
      <c r="G3" s="465" t="s">
        <v>121</v>
      </c>
      <c r="H3" s="473" t="s">
        <v>705</v>
      </c>
      <c r="I3" s="483" t="s">
        <v>121</v>
      </c>
      <c r="J3" s="25" t="s">
        <v>705</v>
      </c>
    </row>
    <row r="4" spans="1:10">
      <c r="A4" s="70">
        <v>43852</v>
      </c>
      <c r="B4" s="71" t="s">
        <v>173</v>
      </c>
      <c r="C4" s="72">
        <v>527745.1</v>
      </c>
      <c r="D4" s="434">
        <f>C4</f>
        <v>527745.1</v>
      </c>
      <c r="E4" s="474">
        <v>530913.64</v>
      </c>
      <c r="F4" s="475">
        <f>IF(ISBLANK(E4),"----",E4-$D4)</f>
        <v>3168.5400000000373</v>
      </c>
      <c r="G4" s="474" t="s">
        <v>704</v>
      </c>
      <c r="H4" s="475" t="str">
        <f t="shared" ref="H4:H22" si="0">IF(OR(G4="Complete",ISBLANK(G4)),"----",G4-$D4)</f>
        <v>----</v>
      </c>
      <c r="I4" s="484" t="s">
        <v>704</v>
      </c>
      <c r="J4" s="73" t="str">
        <f t="shared" ref="J4:J22" si="1">IF(OR(I4="Complete",ISBLANK(I4)),"----",I4-$D4)</f>
        <v>----</v>
      </c>
    </row>
    <row r="5" spans="1:10">
      <c r="A5" s="91">
        <v>44153</v>
      </c>
      <c r="B5" s="92" t="s">
        <v>324</v>
      </c>
      <c r="C5" s="84">
        <v>575300.88</v>
      </c>
      <c r="D5" s="482">
        <f>C5</f>
        <v>575300.88</v>
      </c>
      <c r="E5" s="487">
        <v>575147.97</v>
      </c>
      <c r="F5" s="488">
        <f t="shared" ref="F5:F22" si="2">IF(ISBLANK(E5),"----",E5-$D5)</f>
        <v>-152.9100000000326</v>
      </c>
      <c r="G5" s="487" t="s">
        <v>704</v>
      </c>
      <c r="H5" s="488" t="str">
        <f t="shared" si="0"/>
        <v>----</v>
      </c>
      <c r="I5" s="485" t="s">
        <v>704</v>
      </c>
      <c r="J5" s="85" t="str">
        <f t="shared" si="1"/>
        <v>----</v>
      </c>
    </row>
    <row r="6" spans="1:10" s="437" customFormat="1">
      <c r="A6" s="454"/>
      <c r="B6" s="455"/>
      <c r="C6" s="451"/>
      <c r="D6" s="471"/>
      <c r="E6" s="478"/>
      <c r="F6" s="490" t="str">
        <f t="shared" si="2"/>
        <v>----</v>
      </c>
      <c r="G6" s="478"/>
      <c r="H6" s="490" t="str">
        <f t="shared" si="0"/>
        <v>----</v>
      </c>
      <c r="I6" s="491"/>
      <c r="J6" s="456" t="str">
        <f t="shared" si="1"/>
        <v>----</v>
      </c>
    </row>
    <row r="7" spans="1:10" s="437" customFormat="1">
      <c r="A7" s="454"/>
      <c r="B7" s="455"/>
      <c r="C7" s="451"/>
      <c r="D7" s="471"/>
      <c r="E7" s="478"/>
      <c r="F7" s="490" t="str">
        <f t="shared" si="2"/>
        <v>----</v>
      </c>
      <c r="G7" s="478"/>
      <c r="H7" s="490" t="str">
        <f t="shared" si="0"/>
        <v>----</v>
      </c>
      <c r="I7" s="491"/>
      <c r="J7" s="456" t="str">
        <f t="shared" si="1"/>
        <v>----</v>
      </c>
    </row>
    <row r="8" spans="1:10" s="437" customFormat="1">
      <c r="A8" s="454"/>
      <c r="B8" s="455"/>
      <c r="C8" s="451"/>
      <c r="D8" s="471"/>
      <c r="E8" s="478"/>
      <c r="F8" s="490" t="str">
        <f t="shared" si="2"/>
        <v>----</v>
      </c>
      <c r="G8" s="478"/>
      <c r="H8" s="490" t="str">
        <f t="shared" si="0"/>
        <v>----</v>
      </c>
      <c r="I8" s="491"/>
      <c r="J8" s="456" t="str">
        <f t="shared" si="1"/>
        <v>----</v>
      </c>
    </row>
    <row r="9" spans="1:10" s="437" customFormat="1">
      <c r="A9" s="454"/>
      <c r="B9" s="455"/>
      <c r="C9" s="451"/>
      <c r="D9" s="471"/>
      <c r="E9" s="478"/>
      <c r="F9" s="490" t="str">
        <f t="shared" si="2"/>
        <v>----</v>
      </c>
      <c r="G9" s="478"/>
      <c r="H9" s="490" t="str">
        <f t="shared" si="0"/>
        <v>----</v>
      </c>
      <c r="I9" s="491"/>
      <c r="J9" s="456" t="str">
        <f t="shared" si="1"/>
        <v>----</v>
      </c>
    </row>
    <row r="10" spans="1:10" s="437" customFormat="1">
      <c r="A10" s="454"/>
      <c r="B10" s="455"/>
      <c r="C10" s="451"/>
      <c r="D10" s="471"/>
      <c r="E10" s="478"/>
      <c r="F10" s="490" t="str">
        <f t="shared" si="2"/>
        <v>----</v>
      </c>
      <c r="G10" s="478"/>
      <c r="H10" s="490" t="str">
        <f t="shared" si="0"/>
        <v>----</v>
      </c>
      <c r="I10" s="491"/>
      <c r="J10" s="456" t="str">
        <f t="shared" si="1"/>
        <v>----</v>
      </c>
    </row>
    <row r="11" spans="1:10" s="437" customFormat="1">
      <c r="A11" s="454"/>
      <c r="B11" s="455"/>
      <c r="C11" s="451"/>
      <c r="D11" s="471"/>
      <c r="E11" s="478"/>
      <c r="F11" s="490" t="str">
        <f t="shared" si="2"/>
        <v>----</v>
      </c>
      <c r="G11" s="478"/>
      <c r="H11" s="490" t="str">
        <f t="shared" si="0"/>
        <v>----</v>
      </c>
      <c r="I11" s="491"/>
      <c r="J11" s="456" t="str">
        <f t="shared" si="1"/>
        <v>----</v>
      </c>
    </row>
    <row r="12" spans="1:10" s="437" customFormat="1">
      <c r="A12" s="454"/>
      <c r="B12" s="455"/>
      <c r="C12" s="451"/>
      <c r="D12" s="471"/>
      <c r="E12" s="478"/>
      <c r="F12" s="490" t="str">
        <f t="shared" si="2"/>
        <v>----</v>
      </c>
      <c r="G12" s="478"/>
      <c r="H12" s="490" t="str">
        <f t="shared" si="0"/>
        <v>----</v>
      </c>
      <c r="I12" s="491"/>
      <c r="J12" s="456" t="str">
        <f t="shared" si="1"/>
        <v>----</v>
      </c>
    </row>
    <row r="13" spans="1:10" s="437" customFormat="1">
      <c r="A13" s="454"/>
      <c r="B13" s="455"/>
      <c r="C13" s="451"/>
      <c r="D13" s="471"/>
      <c r="E13" s="478"/>
      <c r="F13" s="490" t="str">
        <f t="shared" si="2"/>
        <v>----</v>
      </c>
      <c r="G13" s="478"/>
      <c r="H13" s="490" t="str">
        <f t="shared" si="0"/>
        <v>----</v>
      </c>
      <c r="I13" s="491"/>
      <c r="J13" s="456" t="str">
        <f t="shared" si="1"/>
        <v>----</v>
      </c>
    </row>
    <row r="14" spans="1:10" s="437" customFormat="1">
      <c r="A14" s="454"/>
      <c r="B14" s="455"/>
      <c r="C14" s="451"/>
      <c r="D14" s="471"/>
      <c r="E14" s="478"/>
      <c r="F14" s="490" t="str">
        <f t="shared" si="2"/>
        <v>----</v>
      </c>
      <c r="G14" s="478"/>
      <c r="H14" s="490" t="str">
        <f t="shared" si="0"/>
        <v>----</v>
      </c>
      <c r="I14" s="491"/>
      <c r="J14" s="456" t="str">
        <f t="shared" si="1"/>
        <v>----</v>
      </c>
    </row>
    <row r="15" spans="1:10" s="437" customFormat="1">
      <c r="A15" s="454"/>
      <c r="B15" s="455"/>
      <c r="C15" s="451"/>
      <c r="D15" s="471"/>
      <c r="E15" s="478"/>
      <c r="F15" s="490" t="str">
        <f t="shared" si="2"/>
        <v>----</v>
      </c>
      <c r="G15" s="478"/>
      <c r="H15" s="490" t="str">
        <f t="shared" si="0"/>
        <v>----</v>
      </c>
      <c r="I15" s="491"/>
      <c r="J15" s="456" t="str">
        <f t="shared" si="1"/>
        <v>----</v>
      </c>
    </row>
    <row r="16" spans="1:10" s="437" customFormat="1">
      <c r="A16" s="454"/>
      <c r="B16" s="455"/>
      <c r="C16" s="451"/>
      <c r="D16" s="471"/>
      <c r="E16" s="478"/>
      <c r="F16" s="490" t="str">
        <f t="shared" si="2"/>
        <v>----</v>
      </c>
      <c r="G16" s="478"/>
      <c r="H16" s="490" t="str">
        <f t="shared" si="0"/>
        <v>----</v>
      </c>
      <c r="I16" s="491"/>
      <c r="J16" s="456" t="str">
        <f t="shared" si="1"/>
        <v>----</v>
      </c>
    </row>
    <row r="17" spans="1:10" s="437" customFormat="1">
      <c r="A17" s="454"/>
      <c r="B17" s="455"/>
      <c r="C17" s="451"/>
      <c r="D17" s="471"/>
      <c r="E17" s="478"/>
      <c r="F17" s="490" t="str">
        <f t="shared" si="2"/>
        <v>----</v>
      </c>
      <c r="G17" s="478"/>
      <c r="H17" s="490" t="str">
        <f t="shared" si="0"/>
        <v>----</v>
      </c>
      <c r="I17" s="491"/>
      <c r="J17" s="456" t="str">
        <f t="shared" si="1"/>
        <v>----</v>
      </c>
    </row>
    <row r="18" spans="1:10" s="437" customFormat="1">
      <c r="A18" s="454"/>
      <c r="B18" s="455"/>
      <c r="C18" s="451"/>
      <c r="D18" s="471"/>
      <c r="E18" s="478"/>
      <c r="F18" s="490" t="str">
        <f t="shared" si="2"/>
        <v>----</v>
      </c>
      <c r="G18" s="478"/>
      <c r="H18" s="490" t="str">
        <f t="shared" si="0"/>
        <v>----</v>
      </c>
      <c r="I18" s="491"/>
      <c r="J18" s="456" t="str">
        <f t="shared" si="1"/>
        <v>----</v>
      </c>
    </row>
    <row r="19" spans="1:10" s="437" customFormat="1">
      <c r="A19" s="454"/>
      <c r="B19" s="455"/>
      <c r="C19" s="451"/>
      <c r="D19" s="471"/>
      <c r="E19" s="478"/>
      <c r="F19" s="490" t="str">
        <f t="shared" si="2"/>
        <v>----</v>
      </c>
      <c r="G19" s="478"/>
      <c r="H19" s="490" t="str">
        <f t="shared" si="0"/>
        <v>----</v>
      </c>
      <c r="I19" s="491"/>
      <c r="J19" s="456" t="str">
        <f t="shared" si="1"/>
        <v>----</v>
      </c>
    </row>
    <row r="20" spans="1:10" s="437" customFormat="1">
      <c r="A20" s="454"/>
      <c r="B20" s="455"/>
      <c r="C20" s="451"/>
      <c r="D20" s="471"/>
      <c r="E20" s="478"/>
      <c r="F20" s="490" t="str">
        <f t="shared" si="2"/>
        <v>----</v>
      </c>
      <c r="G20" s="478"/>
      <c r="H20" s="490" t="str">
        <f t="shared" si="0"/>
        <v>----</v>
      </c>
      <c r="I20" s="491"/>
      <c r="J20" s="456" t="str">
        <f t="shared" si="1"/>
        <v>----</v>
      </c>
    </row>
    <row r="21" spans="1:10" s="437" customFormat="1">
      <c r="A21" s="457"/>
      <c r="B21" s="458"/>
      <c r="C21" s="459"/>
      <c r="D21" s="472"/>
      <c r="E21" s="479"/>
      <c r="F21" s="492" t="str">
        <f t="shared" si="2"/>
        <v>----</v>
      </c>
      <c r="G21" s="479"/>
      <c r="H21" s="492" t="str">
        <f t="shared" si="0"/>
        <v>----</v>
      </c>
      <c r="I21" s="493"/>
      <c r="J21" s="460" t="str">
        <f t="shared" si="1"/>
        <v>----</v>
      </c>
    </row>
    <row r="22" spans="1:10" ht="15.75" thickBot="1">
      <c r="A22" s="74"/>
      <c r="B22" s="75"/>
      <c r="C22" s="76"/>
      <c r="D22" s="435"/>
      <c r="E22" s="480"/>
      <c r="F22" s="481" t="str">
        <f t="shared" si="2"/>
        <v>----</v>
      </c>
      <c r="G22" s="480"/>
      <c r="H22" s="481" t="str">
        <f t="shared" si="0"/>
        <v>----</v>
      </c>
      <c r="I22" s="486"/>
      <c r="J22" s="77" t="str">
        <f t="shared" si="1"/>
        <v>----</v>
      </c>
    </row>
    <row r="23" spans="1:10" ht="15.75" thickBot="1">
      <c r="A23" s="27"/>
      <c r="B23" s="27"/>
      <c r="C23" s="28"/>
      <c r="D23" s="28"/>
      <c r="E23" s="444"/>
      <c r="F23" s="446">
        <f>SUM(F4:F22)</f>
        <v>3015.6300000000047</v>
      </c>
      <c r="G23" s="444"/>
      <c r="H23" s="446">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O21" sqref="O21"/>
    </sheetView>
  </sheetViews>
  <sheetFormatPr defaultRowHeight="15"/>
  <cols>
    <col min="2" max="2" width="23.7109375" bestFit="1" customWidth="1"/>
    <col min="3" max="3" width="12" bestFit="1" customWidth="1"/>
    <col min="4" max="4" width="12.28515625" customWidth="1"/>
    <col min="5" max="5" width="10.5703125" style="437" customWidth="1"/>
    <col min="6" max="6" width="12.85546875" style="437" customWidth="1"/>
    <col min="7" max="7" width="10.5703125" style="437" customWidth="1"/>
    <col min="8" max="8" width="12.85546875" style="437" customWidth="1"/>
    <col min="9" max="9" width="10.5703125" customWidth="1"/>
    <col min="10" max="10" width="12.85546875" customWidth="1"/>
  </cols>
  <sheetData>
    <row r="1" spans="1:11" ht="15.75" thickBot="1">
      <c r="A1" s="932" t="s">
        <v>140</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43788</v>
      </c>
      <c r="B4" s="71" t="s">
        <v>403</v>
      </c>
      <c r="C4" s="72">
        <v>590082.25</v>
      </c>
      <c r="D4" s="434">
        <f>C4</f>
        <v>590082.25</v>
      </c>
      <c r="E4" s="474"/>
      <c r="F4" s="475" t="str">
        <f t="shared" ref="F4:F22" si="0">IF(ISBLANK(E4),"----",E4-D4)</f>
        <v>----</v>
      </c>
      <c r="G4" s="474"/>
      <c r="H4" s="475" t="str">
        <f t="shared" ref="H4:H22" si="1">IF(OR(G4="Complete",ISBLANK(G4)),"----",G4-$D4)</f>
        <v>----</v>
      </c>
      <c r="I4" s="484"/>
      <c r="J4" s="73" t="str">
        <f t="shared" ref="J4:J22" si="2">IF(OR(I4="Complete",ISBLANK(I4)),"----",I4-$D4)</f>
        <v>----</v>
      </c>
    </row>
    <row r="5" spans="1:11">
      <c r="A5" s="88">
        <v>44243</v>
      </c>
      <c r="B5" s="101" t="s">
        <v>402</v>
      </c>
      <c r="C5" s="82">
        <v>598259.81000000006</v>
      </c>
      <c r="D5" s="436">
        <f>C5</f>
        <v>598259.81000000006</v>
      </c>
      <c r="E5" s="476">
        <v>593849.59999999998</v>
      </c>
      <c r="F5" s="477">
        <f t="shared" si="0"/>
        <v>-4410.2100000000792</v>
      </c>
      <c r="G5" s="476" t="s">
        <v>704</v>
      </c>
      <c r="H5" s="477" t="str">
        <f t="shared" si="1"/>
        <v>----</v>
      </c>
      <c r="I5" s="489" t="s">
        <v>704</v>
      </c>
      <c r="J5" s="83" t="str">
        <f t="shared" si="2"/>
        <v>----</v>
      </c>
    </row>
    <row r="6" spans="1:11">
      <c r="A6" s="268">
        <v>44460</v>
      </c>
      <c r="B6" s="269" t="s">
        <v>457</v>
      </c>
      <c r="C6" s="270">
        <v>1410959.85</v>
      </c>
      <c r="D6" s="591" t="s">
        <v>509</v>
      </c>
      <c r="E6" s="593"/>
      <c r="F6" s="594" t="str">
        <f t="shared" si="0"/>
        <v>----</v>
      </c>
      <c r="G6" s="593"/>
      <c r="H6" s="594" t="str">
        <f t="shared" si="1"/>
        <v>----</v>
      </c>
      <c r="I6" s="592"/>
      <c r="J6" s="271" t="str">
        <f t="shared" si="2"/>
        <v>----</v>
      </c>
      <c r="K6" s="272" t="s">
        <v>510</v>
      </c>
    </row>
    <row r="7" spans="1:11">
      <c r="A7" s="102">
        <v>44824</v>
      </c>
      <c r="B7" s="103" t="s">
        <v>566</v>
      </c>
      <c r="C7" s="87">
        <v>1596014.25</v>
      </c>
      <c r="D7" s="471">
        <v>596014.25</v>
      </c>
      <c r="E7" s="478"/>
      <c r="F7" s="477" t="str">
        <f t="shared" si="0"/>
        <v>----</v>
      </c>
      <c r="G7" s="478"/>
      <c r="H7" s="477" t="str">
        <f t="shared" si="1"/>
        <v>----</v>
      </c>
      <c r="I7" s="491"/>
      <c r="J7" s="83" t="str">
        <f t="shared" si="2"/>
        <v>----</v>
      </c>
      <c r="K7" t="s">
        <v>565</v>
      </c>
    </row>
    <row r="8" spans="1:11">
      <c r="A8" s="102">
        <v>45308</v>
      </c>
      <c r="B8" s="103" t="s">
        <v>713</v>
      </c>
      <c r="C8" s="87">
        <v>574020.69999999995</v>
      </c>
      <c r="D8" s="471">
        <f>C8</f>
        <v>574020.69999999995</v>
      </c>
      <c r="E8" s="478"/>
      <c r="F8" s="477" t="str">
        <f t="shared" si="0"/>
        <v>----</v>
      </c>
      <c r="G8" s="478"/>
      <c r="H8" s="477" t="str">
        <f t="shared" si="1"/>
        <v>----</v>
      </c>
      <c r="I8" s="491"/>
      <c r="J8" s="83" t="str">
        <f t="shared" si="2"/>
        <v>----</v>
      </c>
    </row>
    <row r="9" spans="1:11">
      <c r="A9" s="102"/>
      <c r="B9" s="103"/>
      <c r="C9" s="87"/>
      <c r="D9" s="471"/>
      <c r="E9" s="478"/>
      <c r="F9" s="477" t="str">
        <f t="shared" si="0"/>
        <v>----</v>
      </c>
      <c r="G9" s="478"/>
      <c r="H9" s="477" t="str">
        <f t="shared" si="1"/>
        <v>----</v>
      </c>
      <c r="I9" s="491"/>
      <c r="J9" s="83" t="str">
        <f t="shared" si="2"/>
        <v>----</v>
      </c>
    </row>
    <row r="10" spans="1:11">
      <c r="A10" s="102"/>
      <c r="B10" s="103"/>
      <c r="C10" s="87"/>
      <c r="D10" s="471"/>
      <c r="E10" s="478"/>
      <c r="F10" s="477" t="str">
        <f t="shared" si="0"/>
        <v>----</v>
      </c>
      <c r="G10" s="478"/>
      <c r="H10" s="477" t="str">
        <f t="shared" si="1"/>
        <v>----</v>
      </c>
      <c r="I10" s="491"/>
      <c r="J10" s="83" t="str">
        <f t="shared" si="2"/>
        <v>----</v>
      </c>
    </row>
    <row r="11" spans="1:11">
      <c r="A11" s="102"/>
      <c r="B11" s="103"/>
      <c r="C11" s="87"/>
      <c r="D11" s="471"/>
      <c r="E11" s="478"/>
      <c r="F11" s="477" t="str">
        <f t="shared" si="0"/>
        <v>----</v>
      </c>
      <c r="G11" s="478"/>
      <c r="H11" s="477" t="str">
        <f t="shared" si="1"/>
        <v>----</v>
      </c>
      <c r="I11" s="491"/>
      <c r="J11" s="83" t="str">
        <f t="shared" si="2"/>
        <v>----</v>
      </c>
    </row>
    <row r="12" spans="1:11">
      <c r="A12" s="102"/>
      <c r="B12" s="103"/>
      <c r="C12" s="87"/>
      <c r="D12" s="471"/>
      <c r="E12" s="478"/>
      <c r="F12" s="477" t="str">
        <f t="shared" si="0"/>
        <v>----</v>
      </c>
      <c r="G12" s="478"/>
      <c r="H12" s="477" t="str">
        <f t="shared" si="1"/>
        <v>----</v>
      </c>
      <c r="I12" s="491"/>
      <c r="J12" s="83" t="str">
        <f t="shared" si="2"/>
        <v>----</v>
      </c>
    </row>
    <row r="13" spans="1:11">
      <c r="A13" s="102"/>
      <c r="B13" s="103"/>
      <c r="C13" s="87"/>
      <c r="D13" s="471"/>
      <c r="E13" s="478"/>
      <c r="F13" s="477" t="str">
        <f t="shared" si="0"/>
        <v>----</v>
      </c>
      <c r="G13" s="478"/>
      <c r="H13" s="477" t="str">
        <f t="shared" si="1"/>
        <v>----</v>
      </c>
      <c r="I13" s="491"/>
      <c r="J13" s="83" t="str">
        <f t="shared" si="2"/>
        <v>----</v>
      </c>
    </row>
    <row r="14" spans="1:11">
      <c r="A14" s="102"/>
      <c r="B14" s="103"/>
      <c r="C14" s="87"/>
      <c r="D14" s="471"/>
      <c r="E14" s="478"/>
      <c r="F14" s="477" t="str">
        <f t="shared" si="0"/>
        <v>----</v>
      </c>
      <c r="G14" s="478"/>
      <c r="H14" s="477" t="str">
        <f t="shared" si="1"/>
        <v>----</v>
      </c>
      <c r="I14" s="491"/>
      <c r="J14" s="83" t="str">
        <f t="shared" si="2"/>
        <v>----</v>
      </c>
    </row>
    <row r="15" spans="1:11">
      <c r="A15" s="102"/>
      <c r="B15" s="103"/>
      <c r="C15" s="87"/>
      <c r="D15" s="471"/>
      <c r="E15" s="478"/>
      <c r="F15" s="477" t="str">
        <f t="shared" si="0"/>
        <v>----</v>
      </c>
      <c r="G15" s="478"/>
      <c r="H15" s="477" t="str">
        <f t="shared" si="1"/>
        <v>----</v>
      </c>
      <c r="I15" s="491"/>
      <c r="J15" s="83" t="str">
        <f t="shared" si="2"/>
        <v>----</v>
      </c>
    </row>
    <row r="16" spans="1:11">
      <c r="A16" s="102"/>
      <c r="B16" s="103"/>
      <c r="C16" s="87"/>
      <c r="D16" s="471"/>
      <c r="E16" s="478"/>
      <c r="F16" s="477" t="str">
        <f t="shared" si="0"/>
        <v>----</v>
      </c>
      <c r="G16" s="478"/>
      <c r="H16" s="477" t="str">
        <f t="shared" si="1"/>
        <v>----</v>
      </c>
      <c r="I16" s="491"/>
      <c r="J16" s="83" t="str">
        <f t="shared" si="2"/>
        <v>----</v>
      </c>
    </row>
    <row r="17" spans="1:10">
      <c r="A17" s="102"/>
      <c r="B17" s="103"/>
      <c r="C17" s="87"/>
      <c r="D17" s="471"/>
      <c r="E17" s="478"/>
      <c r="F17" s="477" t="str">
        <f t="shared" si="0"/>
        <v>----</v>
      </c>
      <c r="G17" s="478"/>
      <c r="H17" s="477" t="str">
        <f t="shared" si="1"/>
        <v>----</v>
      </c>
      <c r="I17" s="491"/>
      <c r="J17" s="83" t="str">
        <f t="shared" si="2"/>
        <v>----</v>
      </c>
    </row>
    <row r="18" spans="1:10">
      <c r="A18" s="102"/>
      <c r="B18" s="103"/>
      <c r="C18" s="87"/>
      <c r="D18" s="471"/>
      <c r="E18" s="478"/>
      <c r="F18" s="477" t="str">
        <f t="shared" si="0"/>
        <v>----</v>
      </c>
      <c r="G18" s="478"/>
      <c r="H18" s="477" t="str">
        <f t="shared" si="1"/>
        <v>----</v>
      </c>
      <c r="I18" s="491"/>
      <c r="J18" s="83" t="str">
        <f t="shared" si="2"/>
        <v>----</v>
      </c>
    </row>
    <row r="19" spans="1:10">
      <c r="A19" s="102"/>
      <c r="B19" s="103"/>
      <c r="C19" s="87"/>
      <c r="D19" s="471"/>
      <c r="E19" s="478"/>
      <c r="F19" s="477" t="str">
        <f t="shared" si="0"/>
        <v>----</v>
      </c>
      <c r="G19" s="478"/>
      <c r="H19" s="477" t="str">
        <f t="shared" si="1"/>
        <v>----</v>
      </c>
      <c r="I19" s="491"/>
      <c r="J19" s="83" t="str">
        <f t="shared" si="2"/>
        <v>----</v>
      </c>
    </row>
    <row r="20" spans="1:10">
      <c r="A20" s="102"/>
      <c r="B20" s="103"/>
      <c r="C20" s="87"/>
      <c r="D20" s="471"/>
      <c r="E20" s="478"/>
      <c r="F20" s="477" t="str">
        <f t="shared" si="0"/>
        <v>----</v>
      </c>
      <c r="G20" s="478"/>
      <c r="H20" s="477" t="str">
        <f t="shared" si="1"/>
        <v>----</v>
      </c>
      <c r="I20" s="491"/>
      <c r="J20" s="83" t="str">
        <f t="shared" si="2"/>
        <v>----</v>
      </c>
    </row>
    <row r="21" spans="1:10">
      <c r="A21" s="116"/>
      <c r="B21" s="117"/>
      <c r="C21" s="118"/>
      <c r="D21" s="472"/>
      <c r="E21" s="479"/>
      <c r="F21" s="477" t="str">
        <f t="shared" si="0"/>
        <v>----</v>
      </c>
      <c r="G21" s="479"/>
      <c r="H21" s="477" t="str">
        <f t="shared" si="1"/>
        <v>----</v>
      </c>
      <c r="I21" s="493"/>
      <c r="J21" s="83" t="str">
        <f t="shared" si="2"/>
        <v>----</v>
      </c>
    </row>
    <row r="22" spans="1:10" ht="15.75" thickBot="1">
      <c r="A22" s="74"/>
      <c r="B22" s="75"/>
      <c r="C22" s="76"/>
      <c r="D22" s="435"/>
      <c r="E22" s="480"/>
      <c r="F22" s="481" t="str">
        <f t="shared" si="0"/>
        <v>----</v>
      </c>
      <c r="G22" s="480"/>
      <c r="H22" s="481" t="str">
        <f t="shared" si="1"/>
        <v>----</v>
      </c>
      <c r="I22" s="486"/>
      <c r="J22" s="77" t="str">
        <f t="shared" si="2"/>
        <v>----</v>
      </c>
    </row>
    <row r="23" spans="1:10" ht="15.75" thickBot="1">
      <c r="A23" s="27"/>
      <c r="B23" s="27"/>
      <c r="C23" s="28"/>
      <c r="D23" s="28"/>
      <c r="E23" s="444"/>
      <c r="F23" s="446">
        <f>SUM(F4:F22)</f>
        <v>-4410.2100000000792</v>
      </c>
      <c r="G23" s="444"/>
      <c r="H23" s="446">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7" bestFit="1" customWidth="1"/>
    <col min="6" max="6" width="14" style="437" customWidth="1"/>
    <col min="7" max="7" width="12" style="437" bestFit="1" customWidth="1"/>
    <col min="8" max="8" width="14" style="437" customWidth="1"/>
    <col min="9" max="9" width="12" bestFit="1" customWidth="1"/>
    <col min="10" max="10" width="14" customWidth="1"/>
  </cols>
  <sheetData>
    <row r="1" spans="1:10" ht="15.75" thickBot="1">
      <c r="A1" s="932" t="s">
        <v>187</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6.5" thickBot="1">
      <c r="A3" s="940"/>
      <c r="B3" s="942"/>
      <c r="C3" s="942"/>
      <c r="D3" s="954"/>
      <c r="E3" s="465" t="s">
        <v>121</v>
      </c>
      <c r="F3" s="473" t="s">
        <v>113</v>
      </c>
      <c r="G3" s="465" t="s">
        <v>121</v>
      </c>
      <c r="H3" s="473" t="s">
        <v>113</v>
      </c>
      <c r="I3" s="483" t="s">
        <v>121</v>
      </c>
      <c r="J3" s="25" t="s">
        <v>113</v>
      </c>
    </row>
    <row r="4" spans="1:10">
      <c r="A4" s="70">
        <v>43852</v>
      </c>
      <c r="B4" s="71" t="s">
        <v>191</v>
      </c>
      <c r="C4" s="72">
        <v>2217900.0499999998</v>
      </c>
      <c r="D4" s="434">
        <f>C4</f>
        <v>2217900.0499999998</v>
      </c>
      <c r="E4" s="521">
        <v>2258461.2599999998</v>
      </c>
      <c r="F4" s="475">
        <f t="shared" ref="F4:F22" si="0">IF(ISBLANK(E4),"----",E4-D4)</f>
        <v>40561.209999999963</v>
      </c>
      <c r="G4" s="474" t="s">
        <v>704</v>
      </c>
      <c r="H4" s="475" t="str">
        <f t="shared" ref="H4:H22" si="1">IF(OR(G4="Complete",ISBLANK(G4)),"----",G4-$D4)</f>
        <v>----</v>
      </c>
      <c r="I4" s="484" t="s">
        <v>704</v>
      </c>
      <c r="J4" s="73" t="str">
        <f t="shared" ref="J4:J22" si="2">IF(OR(I4="Complete",ISBLANK(I4)),"----",I4-$D4)</f>
        <v>----</v>
      </c>
    </row>
    <row r="5" spans="1:10">
      <c r="A5" s="88">
        <v>44180</v>
      </c>
      <c r="B5" s="101" t="s">
        <v>365</v>
      </c>
      <c r="C5" s="462">
        <v>907604.08</v>
      </c>
      <c r="D5" s="512">
        <f>C5</f>
        <v>907604.08</v>
      </c>
      <c r="E5" s="600">
        <v>922172.46</v>
      </c>
      <c r="F5" s="601">
        <f t="shared" si="0"/>
        <v>14568.380000000005</v>
      </c>
      <c r="G5" s="600" t="s">
        <v>704</v>
      </c>
      <c r="H5" s="601" t="str">
        <f t="shared" si="1"/>
        <v>----</v>
      </c>
      <c r="I5" s="602" t="s">
        <v>704</v>
      </c>
      <c r="J5" s="603" t="str">
        <f t="shared" si="2"/>
        <v>----</v>
      </c>
    </row>
    <row r="6" spans="1:10">
      <c r="A6" s="102"/>
      <c r="B6" s="103"/>
      <c r="C6" s="87"/>
      <c r="D6" s="471"/>
      <c r="E6" s="478"/>
      <c r="F6" s="492" t="str">
        <f t="shared" si="0"/>
        <v>----</v>
      </c>
      <c r="G6" s="478"/>
      <c r="H6" s="492" t="str">
        <f t="shared" si="1"/>
        <v>----</v>
      </c>
      <c r="I6" s="491"/>
      <c r="J6" s="119" t="str">
        <f t="shared" si="2"/>
        <v>----</v>
      </c>
    </row>
    <row r="7" spans="1:10">
      <c r="A7" s="102"/>
      <c r="B7" s="103"/>
      <c r="C7" s="87"/>
      <c r="D7" s="471"/>
      <c r="E7" s="478"/>
      <c r="F7" s="529" t="str">
        <f t="shared" si="0"/>
        <v>----</v>
      </c>
      <c r="G7" s="478"/>
      <c r="H7" s="529" t="str">
        <f t="shared" si="1"/>
        <v>----</v>
      </c>
      <c r="I7" s="491"/>
      <c r="J7" s="140" t="str">
        <f t="shared" si="2"/>
        <v>----</v>
      </c>
    </row>
    <row r="8" spans="1:10">
      <c r="A8" s="102"/>
      <c r="B8" s="103"/>
      <c r="C8" s="87"/>
      <c r="D8" s="471"/>
      <c r="E8" s="478"/>
      <c r="F8" s="529" t="str">
        <f t="shared" si="0"/>
        <v>----</v>
      </c>
      <c r="G8" s="478"/>
      <c r="H8" s="529" t="str">
        <f t="shared" si="1"/>
        <v>----</v>
      </c>
      <c r="I8" s="491"/>
      <c r="J8" s="140" t="str">
        <f t="shared" si="2"/>
        <v>----</v>
      </c>
    </row>
    <row r="9" spans="1:10">
      <c r="A9" s="102"/>
      <c r="B9" s="103"/>
      <c r="C9" s="87"/>
      <c r="D9" s="471"/>
      <c r="E9" s="478"/>
      <c r="F9" s="529" t="str">
        <f t="shared" si="0"/>
        <v>----</v>
      </c>
      <c r="G9" s="478"/>
      <c r="H9" s="529" t="str">
        <f t="shared" si="1"/>
        <v>----</v>
      </c>
      <c r="I9" s="491"/>
      <c r="J9" s="140" t="str">
        <f t="shared" si="2"/>
        <v>----</v>
      </c>
    </row>
    <row r="10" spans="1:10">
      <c r="A10" s="102"/>
      <c r="B10" s="103"/>
      <c r="C10" s="87"/>
      <c r="D10" s="471"/>
      <c r="E10" s="478"/>
      <c r="F10" s="529" t="str">
        <f t="shared" si="0"/>
        <v>----</v>
      </c>
      <c r="G10" s="478"/>
      <c r="H10" s="529" t="str">
        <f t="shared" si="1"/>
        <v>----</v>
      </c>
      <c r="I10" s="491"/>
      <c r="J10" s="140" t="str">
        <f t="shared" si="2"/>
        <v>----</v>
      </c>
    </row>
    <row r="11" spans="1:10">
      <c r="A11" s="102"/>
      <c r="B11" s="103"/>
      <c r="C11" s="87"/>
      <c r="D11" s="471"/>
      <c r="E11" s="478"/>
      <c r="F11" s="529" t="str">
        <f t="shared" si="0"/>
        <v>----</v>
      </c>
      <c r="G11" s="478"/>
      <c r="H11" s="529" t="str">
        <f t="shared" si="1"/>
        <v>----</v>
      </c>
      <c r="I11" s="491"/>
      <c r="J11" s="140" t="str">
        <f t="shared" si="2"/>
        <v>----</v>
      </c>
    </row>
    <row r="12" spans="1:10">
      <c r="A12" s="102"/>
      <c r="B12" s="103"/>
      <c r="C12" s="87"/>
      <c r="D12" s="471"/>
      <c r="E12" s="478"/>
      <c r="F12" s="529" t="str">
        <f t="shared" si="0"/>
        <v>----</v>
      </c>
      <c r="G12" s="478"/>
      <c r="H12" s="529" t="str">
        <f t="shared" si="1"/>
        <v>----</v>
      </c>
      <c r="I12" s="491"/>
      <c r="J12" s="140" t="str">
        <f t="shared" si="2"/>
        <v>----</v>
      </c>
    </row>
    <row r="13" spans="1:10">
      <c r="A13" s="102"/>
      <c r="B13" s="103"/>
      <c r="C13" s="87"/>
      <c r="D13" s="471"/>
      <c r="E13" s="478"/>
      <c r="F13" s="529" t="str">
        <f t="shared" si="0"/>
        <v>----</v>
      </c>
      <c r="G13" s="478"/>
      <c r="H13" s="529" t="str">
        <f t="shared" si="1"/>
        <v>----</v>
      </c>
      <c r="I13" s="491"/>
      <c r="J13" s="140" t="str">
        <f t="shared" si="2"/>
        <v>----</v>
      </c>
    </row>
    <row r="14" spans="1:10">
      <c r="A14" s="102"/>
      <c r="B14" s="103"/>
      <c r="C14" s="87"/>
      <c r="D14" s="471"/>
      <c r="E14" s="478"/>
      <c r="F14" s="529" t="str">
        <f t="shared" si="0"/>
        <v>----</v>
      </c>
      <c r="G14" s="478"/>
      <c r="H14" s="529" t="str">
        <f t="shared" si="1"/>
        <v>----</v>
      </c>
      <c r="I14" s="491"/>
      <c r="J14" s="140" t="str">
        <f t="shared" si="2"/>
        <v>----</v>
      </c>
    </row>
    <row r="15" spans="1:10">
      <c r="A15" s="102"/>
      <c r="B15" s="103"/>
      <c r="C15" s="87"/>
      <c r="D15" s="471"/>
      <c r="E15" s="478"/>
      <c r="F15" s="529" t="str">
        <f t="shared" si="0"/>
        <v>----</v>
      </c>
      <c r="G15" s="478"/>
      <c r="H15" s="529" t="str">
        <f t="shared" si="1"/>
        <v>----</v>
      </c>
      <c r="I15" s="491"/>
      <c r="J15" s="140" t="str">
        <f t="shared" si="2"/>
        <v>----</v>
      </c>
    </row>
    <row r="16" spans="1:10">
      <c r="A16" s="102"/>
      <c r="B16" s="103"/>
      <c r="C16" s="87"/>
      <c r="D16" s="471"/>
      <c r="E16" s="478"/>
      <c r="F16" s="529" t="str">
        <f t="shared" si="0"/>
        <v>----</v>
      </c>
      <c r="G16" s="478"/>
      <c r="H16" s="529" t="str">
        <f t="shared" si="1"/>
        <v>----</v>
      </c>
      <c r="I16" s="491"/>
      <c r="J16" s="140" t="str">
        <f t="shared" si="2"/>
        <v>----</v>
      </c>
    </row>
    <row r="17" spans="1:10">
      <c r="A17" s="102"/>
      <c r="B17" s="103"/>
      <c r="C17" s="87"/>
      <c r="D17" s="471"/>
      <c r="E17" s="478"/>
      <c r="F17" s="529" t="str">
        <f t="shared" si="0"/>
        <v>----</v>
      </c>
      <c r="G17" s="478"/>
      <c r="H17" s="529" t="str">
        <f t="shared" si="1"/>
        <v>----</v>
      </c>
      <c r="I17" s="491"/>
      <c r="J17" s="140" t="str">
        <f t="shared" si="2"/>
        <v>----</v>
      </c>
    </row>
    <row r="18" spans="1:10">
      <c r="A18" s="102"/>
      <c r="B18" s="103"/>
      <c r="C18" s="87"/>
      <c r="D18" s="471"/>
      <c r="E18" s="478"/>
      <c r="F18" s="529" t="str">
        <f t="shared" si="0"/>
        <v>----</v>
      </c>
      <c r="G18" s="478"/>
      <c r="H18" s="529" t="str">
        <f t="shared" si="1"/>
        <v>----</v>
      </c>
      <c r="I18" s="491"/>
      <c r="J18" s="140" t="str">
        <f t="shared" si="2"/>
        <v>----</v>
      </c>
    </row>
    <row r="19" spans="1:10">
      <c r="A19" s="102"/>
      <c r="B19" s="103"/>
      <c r="C19" s="87"/>
      <c r="D19" s="471"/>
      <c r="E19" s="478"/>
      <c r="F19" s="529" t="str">
        <f t="shared" si="0"/>
        <v>----</v>
      </c>
      <c r="G19" s="478"/>
      <c r="H19" s="529" t="str">
        <f t="shared" si="1"/>
        <v>----</v>
      </c>
      <c r="I19" s="491"/>
      <c r="J19" s="140" t="str">
        <f t="shared" si="2"/>
        <v>----</v>
      </c>
    </row>
    <row r="20" spans="1:10">
      <c r="A20" s="102"/>
      <c r="B20" s="103"/>
      <c r="C20" s="87"/>
      <c r="D20" s="471"/>
      <c r="E20" s="478"/>
      <c r="F20" s="529" t="str">
        <f t="shared" si="0"/>
        <v>----</v>
      </c>
      <c r="G20" s="478"/>
      <c r="H20" s="529" t="str">
        <f t="shared" si="1"/>
        <v>----</v>
      </c>
      <c r="I20" s="491"/>
      <c r="J20" s="140" t="str">
        <f t="shared" si="2"/>
        <v>----</v>
      </c>
    </row>
    <row r="21" spans="1:10">
      <c r="A21" s="91"/>
      <c r="B21" s="92"/>
      <c r="C21" s="84"/>
      <c r="D21" s="482"/>
      <c r="E21" s="487"/>
      <c r="F21" s="529" t="str">
        <f t="shared" si="0"/>
        <v>----</v>
      </c>
      <c r="G21" s="487"/>
      <c r="H21" s="529" t="str">
        <f t="shared" si="1"/>
        <v>----</v>
      </c>
      <c r="I21" s="485"/>
      <c r="J21" s="140" t="str">
        <f t="shared" si="2"/>
        <v>----</v>
      </c>
    </row>
    <row r="22" spans="1:10" ht="15.75" thickBot="1">
      <c r="A22" s="74"/>
      <c r="B22" s="75"/>
      <c r="C22" s="76"/>
      <c r="D22" s="435"/>
      <c r="E22" s="480"/>
      <c r="F22" s="481" t="str">
        <f t="shared" si="0"/>
        <v>----</v>
      </c>
      <c r="G22" s="480"/>
      <c r="H22" s="481" t="str">
        <f t="shared" si="1"/>
        <v>----</v>
      </c>
      <c r="I22" s="486"/>
      <c r="J22" s="77" t="str">
        <f t="shared" si="2"/>
        <v>----</v>
      </c>
    </row>
    <row r="23" spans="1:10" ht="15.75" thickBot="1">
      <c r="A23" s="27"/>
      <c r="B23" s="27"/>
      <c r="C23" s="28"/>
      <c r="D23" s="28"/>
      <c r="E23" s="444"/>
      <c r="F23" s="446">
        <f>SUM(F4:F22)</f>
        <v>55129.589999999967</v>
      </c>
      <c r="G23" s="444"/>
      <c r="H23" s="446">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workbookViewId="0">
      <selection activeCell="I7" sqref="I7"/>
    </sheetView>
  </sheetViews>
  <sheetFormatPr defaultRowHeight="15"/>
  <cols>
    <col min="2" max="2" width="22.85546875" bestFit="1" customWidth="1"/>
    <col min="3" max="4" width="12" bestFit="1" customWidth="1"/>
    <col min="5" max="5" width="10.7109375" style="437" bestFit="1" customWidth="1"/>
    <col min="6" max="6" width="9.140625" style="437"/>
    <col min="7" max="7" width="10.7109375" style="437" bestFit="1" customWidth="1"/>
    <col min="8" max="8" width="10.42578125" style="437" bestFit="1" customWidth="1"/>
    <col min="9" max="9" width="10.7109375" bestFit="1" customWidth="1"/>
  </cols>
  <sheetData>
    <row r="1" spans="1:10" ht="15.75" thickBot="1">
      <c r="A1" s="932" t="s">
        <v>281</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69" thickBot="1">
      <c r="A3" s="940"/>
      <c r="B3" s="942"/>
      <c r="C3" s="942"/>
      <c r="D3" s="954"/>
      <c r="E3" s="465" t="s">
        <v>121</v>
      </c>
      <c r="F3" s="473" t="s">
        <v>113</v>
      </c>
      <c r="G3" s="465" t="s">
        <v>121</v>
      </c>
      <c r="H3" s="473" t="s">
        <v>113</v>
      </c>
      <c r="I3" s="483" t="s">
        <v>121</v>
      </c>
      <c r="J3" s="25" t="s">
        <v>113</v>
      </c>
    </row>
    <row r="4" spans="1:10">
      <c r="A4" s="70">
        <v>44180</v>
      </c>
      <c r="B4" s="71" t="s">
        <v>366</v>
      </c>
      <c r="C4" s="798">
        <v>613276.30000000005</v>
      </c>
      <c r="D4" s="805">
        <f>C4</f>
        <v>613276.30000000005</v>
      </c>
      <c r="E4" s="812">
        <v>616949.07999999996</v>
      </c>
      <c r="F4" s="821">
        <f t="shared" ref="F4:F21" si="0">IF(ISBLANK(E4),"----",E4-D4)</f>
        <v>3672.7799999999115</v>
      </c>
      <c r="G4" s="812" t="s">
        <v>704</v>
      </c>
      <c r="H4" s="821" t="str">
        <f t="shared" ref="H4:H21" si="1">IF(OR(G4="Complete",ISBLANK(G4)),"----",G4-$D4)</f>
        <v>----</v>
      </c>
      <c r="I4" s="809" t="s">
        <v>704</v>
      </c>
      <c r="J4" s="822" t="str">
        <f t="shared" ref="J4:J21" si="2">IF(OR(I4="Complete",ISBLANK(I4)),"----",I4-$D4)</f>
        <v>----</v>
      </c>
    </row>
    <row r="5" spans="1:10">
      <c r="A5" s="88">
        <v>44425</v>
      </c>
      <c r="B5" s="101" t="s">
        <v>448</v>
      </c>
      <c r="C5" s="801">
        <v>497173.2</v>
      </c>
      <c r="D5" s="806">
        <f>C5</f>
        <v>497173.2</v>
      </c>
      <c r="E5" s="813"/>
      <c r="F5" s="825" t="str">
        <f t="shared" si="0"/>
        <v>----</v>
      </c>
      <c r="G5" s="813"/>
      <c r="H5" s="825" t="str">
        <f t="shared" si="1"/>
        <v>----</v>
      </c>
      <c r="I5" s="810"/>
      <c r="J5" s="826" t="str">
        <f t="shared" si="2"/>
        <v>----</v>
      </c>
    </row>
    <row r="6" spans="1:10">
      <c r="A6" s="91">
        <v>44425</v>
      </c>
      <c r="B6" s="92" t="s">
        <v>449</v>
      </c>
      <c r="C6" s="799">
        <v>1113678.29</v>
      </c>
      <c r="D6" s="815">
        <f>C6</f>
        <v>1113678.29</v>
      </c>
      <c r="E6" s="817"/>
      <c r="F6" s="679" t="str">
        <f t="shared" si="0"/>
        <v>----</v>
      </c>
      <c r="G6" s="817">
        <v>1052472.1399999999</v>
      </c>
      <c r="H6" s="679">
        <f t="shared" si="1"/>
        <v>-61206.15000000014</v>
      </c>
      <c r="I6" s="816" t="s">
        <v>704</v>
      </c>
      <c r="J6" s="680" t="str">
        <f t="shared" si="2"/>
        <v>----</v>
      </c>
    </row>
    <row r="7" spans="1:10">
      <c r="A7" s="88">
        <v>44460</v>
      </c>
      <c r="B7" s="101" t="s">
        <v>458</v>
      </c>
      <c r="C7" s="801">
        <v>1026961.51</v>
      </c>
      <c r="D7" s="806">
        <v>562691.51</v>
      </c>
      <c r="E7" s="813"/>
      <c r="F7" s="825" t="str">
        <f t="shared" si="0"/>
        <v>----</v>
      </c>
      <c r="G7" s="823"/>
      <c r="H7" s="825" t="str">
        <f t="shared" si="1"/>
        <v>----</v>
      </c>
      <c r="I7" s="824"/>
      <c r="J7" s="826" t="str">
        <f t="shared" si="2"/>
        <v>----</v>
      </c>
    </row>
    <row r="8" spans="1:10">
      <c r="A8" s="91">
        <v>44516</v>
      </c>
      <c r="B8" s="92" t="s">
        <v>468</v>
      </c>
      <c r="C8" s="799">
        <v>603692</v>
      </c>
      <c r="D8" s="807">
        <f>C8</f>
        <v>603692</v>
      </c>
      <c r="E8" s="817"/>
      <c r="F8" s="679" t="str">
        <f t="shared" si="0"/>
        <v>----</v>
      </c>
      <c r="G8" s="817"/>
      <c r="H8" s="679" t="str">
        <f t="shared" si="1"/>
        <v>----</v>
      </c>
      <c r="I8" s="816"/>
      <c r="J8" s="680" t="str">
        <f t="shared" si="2"/>
        <v>----</v>
      </c>
    </row>
    <row r="9" spans="1:10">
      <c r="A9" s="88">
        <v>44761</v>
      </c>
      <c r="B9" s="101" t="s">
        <v>548</v>
      </c>
      <c r="C9" s="801">
        <v>1772735.58</v>
      </c>
      <c r="D9" s="795">
        <f>C9</f>
        <v>1772735.58</v>
      </c>
      <c r="E9" s="813"/>
      <c r="F9" s="825" t="str">
        <f t="shared" si="0"/>
        <v>----</v>
      </c>
      <c r="G9" s="813"/>
      <c r="H9" s="825" t="str">
        <f t="shared" si="1"/>
        <v>----</v>
      </c>
      <c r="I9" s="810"/>
      <c r="J9" s="826" t="str">
        <f t="shared" si="2"/>
        <v>----</v>
      </c>
    </row>
    <row r="10" spans="1:10">
      <c r="A10" s="91">
        <v>45279</v>
      </c>
      <c r="B10" s="92" t="s">
        <v>695</v>
      </c>
      <c r="C10" s="799">
        <v>496800.25</v>
      </c>
      <c r="D10" s="795">
        <f>C10</f>
        <v>496800.25</v>
      </c>
      <c r="E10" s="817"/>
      <c r="F10" s="679" t="str">
        <f t="shared" si="0"/>
        <v>----</v>
      </c>
      <c r="G10" s="817"/>
      <c r="H10" s="679" t="str">
        <f t="shared" si="1"/>
        <v>----</v>
      </c>
      <c r="I10" s="816"/>
      <c r="J10" s="680" t="str">
        <f t="shared" si="2"/>
        <v>----</v>
      </c>
    </row>
    <row r="11" spans="1:10">
      <c r="A11" s="88"/>
      <c r="B11" s="101"/>
      <c r="C11" s="801"/>
      <c r="D11" s="806"/>
      <c r="E11" s="813"/>
      <c r="F11" s="825" t="str">
        <f t="shared" si="0"/>
        <v>----</v>
      </c>
      <c r="G11" s="813"/>
      <c r="H11" s="825" t="str">
        <f t="shared" si="1"/>
        <v>----</v>
      </c>
      <c r="I11" s="810"/>
      <c r="J11" s="826" t="str">
        <f t="shared" si="2"/>
        <v>----</v>
      </c>
    </row>
    <row r="12" spans="1:10">
      <c r="A12" s="91"/>
      <c r="B12" s="92"/>
      <c r="C12" s="799"/>
      <c r="D12" s="815"/>
      <c r="E12" s="817"/>
      <c r="F12" s="679" t="str">
        <f t="shared" si="0"/>
        <v>----</v>
      </c>
      <c r="G12" s="817"/>
      <c r="H12" s="679" t="str">
        <f t="shared" si="1"/>
        <v>----</v>
      </c>
      <c r="I12" s="816"/>
      <c r="J12" s="680" t="str">
        <f t="shared" si="2"/>
        <v>----</v>
      </c>
    </row>
    <row r="13" spans="1:10">
      <c r="A13" s="88"/>
      <c r="B13" s="101"/>
      <c r="C13" s="801"/>
      <c r="D13" s="806"/>
      <c r="E13" s="813"/>
      <c r="F13" s="825" t="str">
        <f t="shared" si="0"/>
        <v>----</v>
      </c>
      <c r="G13" s="813"/>
      <c r="H13" s="825" t="str">
        <f t="shared" si="1"/>
        <v>----</v>
      </c>
      <c r="I13" s="810"/>
      <c r="J13" s="826" t="str">
        <f t="shared" si="2"/>
        <v>----</v>
      </c>
    </row>
    <row r="14" spans="1:10">
      <c r="A14" s="91"/>
      <c r="B14" s="92"/>
      <c r="C14" s="799"/>
      <c r="D14" s="815"/>
      <c r="E14" s="817"/>
      <c r="F14" s="679" t="str">
        <f t="shared" si="0"/>
        <v>----</v>
      </c>
      <c r="G14" s="817"/>
      <c r="H14" s="679" t="str">
        <f t="shared" si="1"/>
        <v>----</v>
      </c>
      <c r="I14" s="816"/>
      <c r="J14" s="680" t="str">
        <f t="shared" si="2"/>
        <v>----</v>
      </c>
    </row>
    <row r="15" spans="1:10">
      <c r="A15" s="88"/>
      <c r="B15" s="101"/>
      <c r="C15" s="801"/>
      <c r="D15" s="806"/>
      <c r="E15" s="813"/>
      <c r="F15" s="825" t="str">
        <f t="shared" si="0"/>
        <v>----</v>
      </c>
      <c r="G15" s="813"/>
      <c r="H15" s="825" t="str">
        <f t="shared" si="1"/>
        <v>----</v>
      </c>
      <c r="I15" s="810"/>
      <c r="J15" s="826" t="str">
        <f t="shared" si="2"/>
        <v>----</v>
      </c>
    </row>
    <row r="16" spans="1:10">
      <c r="A16" s="91"/>
      <c r="B16" s="92"/>
      <c r="C16" s="799"/>
      <c r="D16" s="815"/>
      <c r="E16" s="817"/>
      <c r="F16" s="679" t="str">
        <f t="shared" si="0"/>
        <v>----</v>
      </c>
      <c r="G16" s="817"/>
      <c r="H16" s="679" t="str">
        <f t="shared" si="1"/>
        <v>----</v>
      </c>
      <c r="I16" s="816"/>
      <c r="J16" s="680" t="str">
        <f t="shared" si="2"/>
        <v>----</v>
      </c>
    </row>
    <row r="17" spans="1:10">
      <c r="A17" s="88"/>
      <c r="B17" s="101"/>
      <c r="C17" s="801"/>
      <c r="D17" s="806"/>
      <c r="E17" s="813"/>
      <c r="F17" s="825" t="str">
        <f t="shared" si="0"/>
        <v>----</v>
      </c>
      <c r="G17" s="813"/>
      <c r="H17" s="825" t="str">
        <f t="shared" si="1"/>
        <v>----</v>
      </c>
      <c r="I17" s="810"/>
      <c r="J17" s="826" t="str">
        <f t="shared" si="2"/>
        <v>----</v>
      </c>
    </row>
    <row r="18" spans="1:10">
      <c r="A18" s="91"/>
      <c r="B18" s="92"/>
      <c r="C18" s="799"/>
      <c r="D18" s="815"/>
      <c r="E18" s="817"/>
      <c r="F18" s="679" t="str">
        <f t="shared" si="0"/>
        <v>----</v>
      </c>
      <c r="G18" s="817"/>
      <c r="H18" s="679" t="str">
        <f t="shared" si="1"/>
        <v>----</v>
      </c>
      <c r="I18" s="816"/>
      <c r="J18" s="680" t="str">
        <f t="shared" si="2"/>
        <v>----</v>
      </c>
    </row>
    <row r="19" spans="1:10">
      <c r="A19" s="88"/>
      <c r="B19" s="101"/>
      <c r="C19" s="801"/>
      <c r="D19" s="806"/>
      <c r="E19" s="813"/>
      <c r="F19" s="825" t="str">
        <f t="shared" si="0"/>
        <v>----</v>
      </c>
      <c r="G19" s="813"/>
      <c r="H19" s="825" t="str">
        <f t="shared" si="1"/>
        <v>----</v>
      </c>
      <c r="I19" s="810"/>
      <c r="J19" s="826" t="str">
        <f t="shared" si="2"/>
        <v>----</v>
      </c>
    </row>
    <row r="20" spans="1:10">
      <c r="A20" s="91"/>
      <c r="B20" s="92"/>
      <c r="C20" s="799"/>
      <c r="D20" s="815"/>
      <c r="E20" s="817"/>
      <c r="F20" s="679" t="str">
        <f t="shared" si="0"/>
        <v>----</v>
      </c>
      <c r="G20" s="817"/>
      <c r="H20" s="679" t="str">
        <f t="shared" si="1"/>
        <v>----</v>
      </c>
      <c r="I20" s="816"/>
      <c r="J20" s="680" t="str">
        <f t="shared" si="2"/>
        <v>----</v>
      </c>
    </row>
    <row r="21" spans="1:10" ht="15.75" thickBot="1">
      <c r="A21" s="74"/>
      <c r="B21" s="75"/>
      <c r="C21" s="800"/>
      <c r="D21" s="808"/>
      <c r="E21" s="814"/>
      <c r="F21" s="819" t="str">
        <f t="shared" si="0"/>
        <v>----</v>
      </c>
      <c r="G21" s="814"/>
      <c r="H21" s="819" t="str">
        <f t="shared" si="1"/>
        <v>----</v>
      </c>
      <c r="I21" s="811"/>
      <c r="J21" s="820" t="str">
        <f t="shared" si="2"/>
        <v>----</v>
      </c>
    </row>
    <row r="22" spans="1:10" ht="15.75" thickBot="1">
      <c r="A22" s="27"/>
      <c r="B22" s="27"/>
      <c r="C22" s="28"/>
      <c r="D22" s="28"/>
      <c r="E22" s="444"/>
      <c r="F22" s="446">
        <f>SUM(F4:F21)</f>
        <v>3672.7799999999115</v>
      </c>
      <c r="G22" s="444"/>
      <c r="H22" s="446">
        <f>SUM(H4:H21)</f>
        <v>-61206.15000000014</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7" bestFit="1" customWidth="1"/>
    <col min="6" max="6" width="14.140625" style="437" customWidth="1"/>
    <col min="7" max="7" width="10.7109375" style="437" bestFit="1" customWidth="1"/>
    <col min="8" max="8" width="14.140625" style="437" customWidth="1"/>
    <col min="9" max="9" width="10.7109375" bestFit="1" customWidth="1"/>
    <col min="10" max="10" width="14.140625" customWidth="1"/>
  </cols>
  <sheetData>
    <row r="1" spans="1:11" ht="15.75" thickBot="1">
      <c r="A1" s="932" t="s">
        <v>233</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43942</v>
      </c>
      <c r="B4" s="71" t="s">
        <v>239</v>
      </c>
      <c r="C4" s="72">
        <v>334806.84999999998</v>
      </c>
      <c r="D4" s="434">
        <f>C4</f>
        <v>334806.84999999998</v>
      </c>
      <c r="E4" s="474">
        <v>336518.11</v>
      </c>
      <c r="F4" s="475">
        <f t="shared" ref="F4:F16" si="0">IF(ISBLANK(E4),"----",E4-D4)</f>
        <v>1711.2600000000093</v>
      </c>
      <c r="G4" s="474" t="s">
        <v>704</v>
      </c>
      <c r="H4" s="475" t="str">
        <f t="shared" ref="H4:H16" si="1">IF(OR(G4="Complete",ISBLANK(G4)),"----",G4-$D4)</f>
        <v>----</v>
      </c>
      <c r="I4" s="484" t="s">
        <v>704</v>
      </c>
      <c r="J4" s="73" t="str">
        <f t="shared" ref="J4:J16" si="2">IF(OR(I4="Complete",ISBLANK(I4)),"----",I4-$D4)</f>
        <v>----</v>
      </c>
    </row>
    <row r="5" spans="1:11">
      <c r="A5" s="127">
        <v>44153</v>
      </c>
      <c r="B5" s="124" t="s">
        <v>338</v>
      </c>
      <c r="C5" s="129">
        <v>899601.3</v>
      </c>
      <c r="D5" s="535">
        <f>C5</f>
        <v>899601.3</v>
      </c>
      <c r="E5" s="467">
        <v>963236.39</v>
      </c>
      <c r="F5" s="595">
        <f t="shared" si="0"/>
        <v>63635.089999999967</v>
      </c>
      <c r="G5" s="467" t="s">
        <v>704</v>
      </c>
      <c r="H5" s="595" t="str">
        <f t="shared" si="1"/>
        <v>----</v>
      </c>
      <c r="I5" s="537" t="s">
        <v>704</v>
      </c>
      <c r="J5" s="126" t="str">
        <f t="shared" si="2"/>
        <v>----</v>
      </c>
    </row>
    <row r="6" spans="1:11">
      <c r="A6" s="120">
        <v>44852</v>
      </c>
      <c r="B6" s="121" t="s">
        <v>575</v>
      </c>
      <c r="C6" s="122">
        <v>632854.6</v>
      </c>
      <c r="D6" s="498">
        <f>C6</f>
        <v>632854.6</v>
      </c>
      <c r="E6" s="468"/>
      <c r="F6" s="595" t="str">
        <f t="shared" si="0"/>
        <v>----</v>
      </c>
      <c r="G6" s="468"/>
      <c r="H6" s="595" t="str">
        <f t="shared" si="1"/>
        <v>----</v>
      </c>
      <c r="I6" s="501"/>
      <c r="J6" s="126" t="str">
        <f t="shared" si="2"/>
        <v>----</v>
      </c>
    </row>
    <row r="7" spans="1:11">
      <c r="A7" s="120">
        <v>44852</v>
      </c>
      <c r="B7" s="121" t="s">
        <v>576</v>
      </c>
      <c r="C7" s="122">
        <v>1007853.3</v>
      </c>
      <c r="D7" s="498">
        <f>C7</f>
        <v>1007853.3</v>
      </c>
      <c r="E7" s="468"/>
      <c r="F7" s="595" t="str">
        <f t="shared" si="0"/>
        <v>----</v>
      </c>
      <c r="G7" s="468"/>
      <c r="H7" s="595" t="str">
        <f t="shared" si="1"/>
        <v>----</v>
      </c>
      <c r="I7" s="501"/>
      <c r="J7" s="126" t="str">
        <f t="shared" si="2"/>
        <v>----</v>
      </c>
    </row>
    <row r="8" spans="1:11">
      <c r="A8" s="120">
        <v>45433</v>
      </c>
      <c r="B8" s="121" t="s">
        <v>751</v>
      </c>
      <c r="C8" s="122">
        <f>696240.42/2</f>
        <v>348120.21</v>
      </c>
      <c r="D8" s="498">
        <f>C8</f>
        <v>348120.21</v>
      </c>
      <c r="E8" s="468"/>
      <c r="F8" s="595" t="str">
        <f t="shared" si="0"/>
        <v>----</v>
      </c>
      <c r="G8" s="468"/>
      <c r="H8" s="595" t="str">
        <f t="shared" si="1"/>
        <v>----</v>
      </c>
      <c r="I8" s="501"/>
      <c r="J8" s="126" t="str">
        <f t="shared" si="2"/>
        <v>----</v>
      </c>
      <c r="K8" t="s">
        <v>773</v>
      </c>
    </row>
    <row r="9" spans="1:11">
      <c r="A9" s="120"/>
      <c r="B9" s="121"/>
      <c r="C9" s="122"/>
      <c r="D9" s="498"/>
      <c r="E9" s="468"/>
      <c r="F9" s="595" t="str">
        <f t="shared" si="0"/>
        <v>----</v>
      </c>
      <c r="G9" s="468"/>
      <c r="H9" s="595" t="str">
        <f t="shared" si="1"/>
        <v>----</v>
      </c>
      <c r="I9" s="501"/>
      <c r="J9" s="126" t="str">
        <f t="shared" si="2"/>
        <v>----</v>
      </c>
    </row>
    <row r="10" spans="1:11">
      <c r="A10" s="120"/>
      <c r="B10" s="121"/>
      <c r="C10" s="122"/>
      <c r="D10" s="498"/>
      <c r="E10" s="468"/>
      <c r="F10" s="595" t="str">
        <f t="shared" si="0"/>
        <v>----</v>
      </c>
      <c r="G10" s="468"/>
      <c r="H10" s="595" t="str">
        <f t="shared" si="1"/>
        <v>----</v>
      </c>
      <c r="I10" s="501"/>
      <c r="J10" s="126" t="str">
        <f t="shared" si="2"/>
        <v>----</v>
      </c>
    </row>
    <row r="11" spans="1:11">
      <c r="A11" s="120"/>
      <c r="B11" s="121"/>
      <c r="C11" s="122"/>
      <c r="D11" s="498"/>
      <c r="E11" s="468"/>
      <c r="F11" s="595" t="str">
        <f t="shared" si="0"/>
        <v>----</v>
      </c>
      <c r="G11" s="468"/>
      <c r="H11" s="595" t="str">
        <f t="shared" si="1"/>
        <v>----</v>
      </c>
      <c r="I11" s="501"/>
      <c r="J11" s="126" t="str">
        <f t="shared" si="2"/>
        <v>----</v>
      </c>
    </row>
    <row r="12" spans="1:11">
      <c r="A12" s="120"/>
      <c r="B12" s="121"/>
      <c r="C12" s="122"/>
      <c r="D12" s="498"/>
      <c r="E12" s="468"/>
      <c r="F12" s="595" t="str">
        <f t="shared" si="0"/>
        <v>----</v>
      </c>
      <c r="G12" s="468"/>
      <c r="H12" s="595" t="str">
        <f t="shared" si="1"/>
        <v>----</v>
      </c>
      <c r="I12" s="501"/>
      <c r="J12" s="126" t="str">
        <f t="shared" si="2"/>
        <v>----</v>
      </c>
    </row>
    <row r="13" spans="1:11">
      <c r="A13" s="120"/>
      <c r="B13" s="121"/>
      <c r="C13" s="122"/>
      <c r="D13" s="498"/>
      <c r="E13" s="468"/>
      <c r="F13" s="595" t="str">
        <f t="shared" si="0"/>
        <v>----</v>
      </c>
      <c r="G13" s="468"/>
      <c r="H13" s="595" t="str">
        <f t="shared" si="1"/>
        <v>----</v>
      </c>
      <c r="I13" s="501"/>
      <c r="J13" s="126" t="str">
        <f t="shared" si="2"/>
        <v>----</v>
      </c>
    </row>
    <row r="14" spans="1:11">
      <c r="A14" s="120"/>
      <c r="B14" s="121"/>
      <c r="C14" s="122"/>
      <c r="D14" s="498"/>
      <c r="E14" s="468"/>
      <c r="F14" s="595" t="str">
        <f t="shared" si="0"/>
        <v>----</v>
      </c>
      <c r="G14" s="468"/>
      <c r="H14" s="595" t="str">
        <f t="shared" si="1"/>
        <v>----</v>
      </c>
      <c r="I14" s="501"/>
      <c r="J14" s="126" t="str">
        <f t="shared" si="2"/>
        <v>----</v>
      </c>
    </row>
    <row r="15" spans="1:11">
      <c r="A15" s="123"/>
      <c r="C15" s="125"/>
      <c r="D15" s="500"/>
      <c r="E15" s="469"/>
      <c r="F15" s="595" t="str">
        <f t="shared" si="0"/>
        <v>----</v>
      </c>
      <c r="G15" s="469"/>
      <c r="H15" s="595" t="str">
        <f t="shared" si="1"/>
        <v>----</v>
      </c>
      <c r="I15" s="503"/>
      <c r="J15" s="126" t="str">
        <f t="shared" si="2"/>
        <v>----</v>
      </c>
    </row>
    <row r="16" spans="1:11" ht="15.75" thickBot="1">
      <c r="A16" s="74"/>
      <c r="B16" s="75"/>
      <c r="C16" s="76"/>
      <c r="D16" s="435"/>
      <c r="E16" s="480"/>
      <c r="F16" s="481" t="str">
        <f t="shared" si="0"/>
        <v>----</v>
      </c>
      <c r="G16" s="480"/>
      <c r="H16" s="481" t="str">
        <f t="shared" si="1"/>
        <v>----</v>
      </c>
      <c r="I16" s="486"/>
      <c r="J16" s="77" t="str">
        <f t="shared" si="2"/>
        <v>----</v>
      </c>
    </row>
    <row r="17" spans="1:10" ht="15.75" thickBot="1">
      <c r="A17" s="27"/>
      <c r="B17" s="27"/>
      <c r="C17" s="28"/>
      <c r="D17" s="28"/>
      <c r="E17" s="444"/>
      <c r="F17" s="446">
        <f>SUM(F4:F16)</f>
        <v>65346.349999999977</v>
      </c>
      <c r="G17" s="444"/>
      <c r="H17" s="446">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E14" sqref="E14"/>
    </sheetView>
  </sheetViews>
  <sheetFormatPr defaultRowHeight="15"/>
  <cols>
    <col min="2" max="2" width="22.85546875" bestFit="1" customWidth="1"/>
    <col min="3" max="4" width="10.7109375" bestFit="1" customWidth="1"/>
    <col min="5" max="5" width="10.7109375" style="437" bestFit="1" customWidth="1"/>
    <col min="6" max="6" width="10.85546875" style="437" customWidth="1"/>
    <col min="7" max="7" width="10.7109375" style="437" bestFit="1" customWidth="1"/>
    <col min="8" max="8" width="10.85546875" style="437" customWidth="1"/>
    <col min="9" max="9" width="10.7109375" bestFit="1" customWidth="1"/>
    <col min="10" max="10" width="10.85546875" customWidth="1"/>
  </cols>
  <sheetData>
    <row r="1" spans="1:10" ht="15.75" thickBot="1">
      <c r="A1" s="932" t="s">
        <v>155</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43816</v>
      </c>
      <c r="B4" s="71" t="s">
        <v>166</v>
      </c>
      <c r="C4" s="798">
        <v>211384.46</v>
      </c>
      <c r="D4" s="805">
        <f t="shared" ref="D4:D9" si="0">C4</f>
        <v>211384.46</v>
      </c>
      <c r="E4" s="812">
        <v>210384.36</v>
      </c>
      <c r="F4" s="821">
        <f t="shared" ref="F4:F22" si="1">IF(ISBLANK(E4),"----",E4-D4)</f>
        <v>-1000.1000000000058</v>
      </c>
      <c r="G4" s="812" t="s">
        <v>704</v>
      </c>
      <c r="H4" s="821" t="str">
        <f t="shared" ref="H4:H22" si="2">IF(OR(G4="Complete",ISBLANK(G4)),"----",G4-$D4)</f>
        <v>----</v>
      </c>
      <c r="I4" s="809" t="s">
        <v>704</v>
      </c>
      <c r="J4" s="822" t="str">
        <f t="shared" ref="J4:J22" si="3">IF(OR(I4="Complete",ISBLANK(I4)),"----",I4-$D4)</f>
        <v>----</v>
      </c>
    </row>
    <row r="5" spans="1:10">
      <c r="A5" s="91">
        <v>44033</v>
      </c>
      <c r="B5" s="92" t="s">
        <v>298</v>
      </c>
      <c r="C5" s="799">
        <v>108568.5</v>
      </c>
      <c r="D5" s="815">
        <f t="shared" si="0"/>
        <v>108568.5</v>
      </c>
      <c r="E5" s="817">
        <v>113572.5</v>
      </c>
      <c r="F5" s="825">
        <f t="shared" si="1"/>
        <v>5004</v>
      </c>
      <c r="G5" s="817" t="s">
        <v>704</v>
      </c>
      <c r="H5" s="825" t="str">
        <f t="shared" si="2"/>
        <v>----</v>
      </c>
      <c r="I5" s="816" t="s">
        <v>704</v>
      </c>
      <c r="J5" s="826" t="str">
        <f t="shared" si="3"/>
        <v>----</v>
      </c>
    </row>
    <row r="6" spans="1:10">
      <c r="A6" s="130">
        <v>44089</v>
      </c>
      <c r="B6" s="228" t="s">
        <v>306</v>
      </c>
      <c r="C6" s="836">
        <v>437080.98</v>
      </c>
      <c r="D6" s="837">
        <f t="shared" si="0"/>
        <v>437080.98</v>
      </c>
      <c r="E6" s="838">
        <v>438052.58</v>
      </c>
      <c r="F6" s="679">
        <f t="shared" si="1"/>
        <v>971.60000000003492</v>
      </c>
      <c r="G6" s="838" t="s">
        <v>704</v>
      </c>
      <c r="H6" s="679" t="str">
        <f t="shared" si="2"/>
        <v>----</v>
      </c>
      <c r="I6" s="839" t="s">
        <v>704</v>
      </c>
      <c r="J6" s="680" t="str">
        <f t="shared" si="3"/>
        <v>----</v>
      </c>
    </row>
    <row r="7" spans="1:10">
      <c r="A7" s="102">
        <v>44488</v>
      </c>
      <c r="B7" s="103" t="s">
        <v>462</v>
      </c>
      <c r="C7" s="787">
        <v>246879.7</v>
      </c>
      <c r="D7" s="746">
        <f t="shared" si="0"/>
        <v>246879.7</v>
      </c>
      <c r="E7" s="756">
        <v>257480.68</v>
      </c>
      <c r="F7" s="788">
        <f t="shared" si="1"/>
        <v>10600.979999999981</v>
      </c>
      <c r="G7" s="756" t="s">
        <v>704</v>
      </c>
      <c r="H7" s="788" t="str">
        <f t="shared" si="2"/>
        <v>----</v>
      </c>
      <c r="I7" s="751" t="s">
        <v>704</v>
      </c>
      <c r="J7" s="789" t="str">
        <f t="shared" si="3"/>
        <v>----</v>
      </c>
    </row>
    <row r="8" spans="1:10">
      <c r="A8" s="102">
        <v>44516</v>
      </c>
      <c r="B8" s="103" t="s">
        <v>469</v>
      </c>
      <c r="C8" s="787">
        <v>372376.2</v>
      </c>
      <c r="D8" s="746">
        <f t="shared" si="0"/>
        <v>372376.2</v>
      </c>
      <c r="E8" s="756"/>
      <c r="F8" s="788" t="str">
        <f t="shared" si="1"/>
        <v>----</v>
      </c>
      <c r="G8" s="756">
        <v>419686.28</v>
      </c>
      <c r="H8" s="788">
        <f t="shared" si="2"/>
        <v>47310.080000000016</v>
      </c>
      <c r="I8" s="751" t="s">
        <v>704</v>
      </c>
      <c r="J8" s="789" t="str">
        <f t="shared" si="3"/>
        <v>----</v>
      </c>
    </row>
    <row r="9" spans="1:10">
      <c r="A9" s="102">
        <v>44607</v>
      </c>
      <c r="B9" s="103" t="s">
        <v>507</v>
      </c>
      <c r="C9" s="787">
        <v>455896.06</v>
      </c>
      <c r="D9" s="746">
        <f t="shared" si="0"/>
        <v>455896.06</v>
      </c>
      <c r="E9" s="756">
        <v>487548.85</v>
      </c>
      <c r="F9" s="788">
        <f t="shared" si="1"/>
        <v>31652.789999999979</v>
      </c>
      <c r="G9" s="756" t="s">
        <v>704</v>
      </c>
      <c r="H9" s="788" t="str">
        <f t="shared" si="2"/>
        <v>----</v>
      </c>
      <c r="I9" s="751" t="s">
        <v>704</v>
      </c>
      <c r="J9" s="789" t="str">
        <f t="shared" si="3"/>
        <v>----</v>
      </c>
    </row>
    <row r="10" spans="1:10">
      <c r="A10" s="102">
        <v>44880</v>
      </c>
      <c r="B10" s="103" t="s">
        <v>597</v>
      </c>
      <c r="C10" s="787">
        <v>246472.51</v>
      </c>
      <c r="D10" s="746">
        <f>C10</f>
        <v>246472.51</v>
      </c>
      <c r="E10" s="756"/>
      <c r="F10" s="788" t="str">
        <f t="shared" si="1"/>
        <v>----</v>
      </c>
      <c r="G10" s="756">
        <v>242783.91</v>
      </c>
      <c r="H10" s="788">
        <f t="shared" si="2"/>
        <v>-3688.6000000000058</v>
      </c>
      <c r="I10" s="751" t="s">
        <v>704</v>
      </c>
      <c r="J10" s="789" t="str">
        <f t="shared" si="3"/>
        <v>----</v>
      </c>
    </row>
    <row r="11" spans="1:10">
      <c r="A11" s="102">
        <v>45097</v>
      </c>
      <c r="B11" s="103" t="s">
        <v>653</v>
      </c>
      <c r="C11" s="787">
        <v>163770.54999999999</v>
      </c>
      <c r="D11" s="746">
        <f>C11</f>
        <v>163770.54999999999</v>
      </c>
      <c r="E11" s="756"/>
      <c r="F11" s="788" t="str">
        <f t="shared" si="1"/>
        <v>----</v>
      </c>
      <c r="G11" s="756">
        <v>165031.85999999999</v>
      </c>
      <c r="H11" s="788">
        <f t="shared" si="2"/>
        <v>1261.3099999999977</v>
      </c>
      <c r="I11" s="751" t="s">
        <v>704</v>
      </c>
      <c r="J11" s="789" t="str">
        <f t="shared" si="3"/>
        <v>----</v>
      </c>
    </row>
    <row r="12" spans="1:10">
      <c r="A12" s="398">
        <v>45251</v>
      </c>
      <c r="B12" s="399" t="s">
        <v>678</v>
      </c>
      <c r="C12" s="787">
        <v>387873.68</v>
      </c>
      <c r="D12" s="746">
        <f>C12</f>
        <v>387873.68</v>
      </c>
      <c r="E12" s="756"/>
      <c r="F12" s="788" t="str">
        <f t="shared" si="1"/>
        <v>----</v>
      </c>
      <c r="G12" s="756"/>
      <c r="H12" s="788" t="str">
        <f t="shared" si="2"/>
        <v>----</v>
      </c>
      <c r="I12" s="751"/>
      <c r="J12" s="789" t="str">
        <f t="shared" si="3"/>
        <v>----</v>
      </c>
    </row>
    <row r="13" spans="1:10">
      <c r="A13" s="102">
        <v>45308</v>
      </c>
      <c r="B13" s="103" t="s">
        <v>711</v>
      </c>
      <c r="C13" s="787">
        <v>297403.71999999997</v>
      </c>
      <c r="D13" s="746">
        <f>C13</f>
        <v>297403.71999999997</v>
      </c>
      <c r="E13" s="756"/>
      <c r="F13" s="788" t="str">
        <f t="shared" si="1"/>
        <v>----</v>
      </c>
      <c r="G13" s="756"/>
      <c r="H13" s="788" t="str">
        <f t="shared" si="2"/>
        <v>----</v>
      </c>
      <c r="I13" s="751"/>
      <c r="J13" s="789" t="str">
        <f t="shared" si="3"/>
        <v>----</v>
      </c>
    </row>
    <row r="14" spans="1:10">
      <c r="A14" s="102">
        <v>45706</v>
      </c>
      <c r="B14" s="738" t="s">
        <v>852</v>
      </c>
      <c r="C14" s="787">
        <v>562681.78</v>
      </c>
      <c r="D14" s="746">
        <f>C14</f>
        <v>562681.78</v>
      </c>
      <c r="E14" s="756"/>
      <c r="F14" s="788" t="str">
        <f t="shared" si="1"/>
        <v>----</v>
      </c>
      <c r="G14" s="756"/>
      <c r="H14" s="788" t="str">
        <f t="shared" si="2"/>
        <v>----</v>
      </c>
      <c r="I14" s="751"/>
      <c r="J14" s="789" t="str">
        <f t="shared" si="3"/>
        <v>----</v>
      </c>
    </row>
    <row r="15" spans="1:10">
      <c r="A15" s="102"/>
      <c r="B15" s="103"/>
      <c r="C15" s="787"/>
      <c r="D15" s="746"/>
      <c r="E15" s="756"/>
      <c r="F15" s="788" t="str">
        <f t="shared" si="1"/>
        <v>----</v>
      </c>
      <c r="G15" s="756"/>
      <c r="H15" s="788" t="str">
        <f t="shared" si="2"/>
        <v>----</v>
      </c>
      <c r="I15" s="751"/>
      <c r="J15" s="789" t="str">
        <f t="shared" si="3"/>
        <v>----</v>
      </c>
    </row>
    <row r="16" spans="1:10">
      <c r="A16" s="102"/>
      <c r="B16" s="103"/>
      <c r="C16" s="787"/>
      <c r="D16" s="746"/>
      <c r="E16" s="756"/>
      <c r="F16" s="788" t="str">
        <f t="shared" si="1"/>
        <v>----</v>
      </c>
      <c r="G16" s="756"/>
      <c r="H16" s="788" t="str">
        <f t="shared" si="2"/>
        <v>----</v>
      </c>
      <c r="I16" s="751"/>
      <c r="J16" s="789" t="str">
        <f t="shared" si="3"/>
        <v>----</v>
      </c>
    </row>
    <row r="17" spans="1:10">
      <c r="A17" s="102"/>
      <c r="B17" s="103"/>
      <c r="C17" s="787"/>
      <c r="D17" s="746"/>
      <c r="E17" s="756"/>
      <c r="F17" s="788" t="str">
        <f t="shared" si="1"/>
        <v>----</v>
      </c>
      <c r="G17" s="756"/>
      <c r="H17" s="788" t="str">
        <f t="shared" si="2"/>
        <v>----</v>
      </c>
      <c r="I17" s="751"/>
      <c r="J17" s="789" t="str">
        <f t="shared" si="3"/>
        <v>----</v>
      </c>
    </row>
    <row r="18" spans="1:10">
      <c r="A18" s="102"/>
      <c r="B18" s="103"/>
      <c r="C18" s="787"/>
      <c r="D18" s="746"/>
      <c r="E18" s="756"/>
      <c r="F18" s="788" t="str">
        <f t="shared" si="1"/>
        <v>----</v>
      </c>
      <c r="G18" s="756"/>
      <c r="H18" s="788" t="str">
        <f t="shared" si="2"/>
        <v>----</v>
      </c>
      <c r="I18" s="751"/>
      <c r="J18" s="789" t="str">
        <f t="shared" si="3"/>
        <v>----</v>
      </c>
    </row>
    <row r="19" spans="1:10">
      <c r="A19" s="102"/>
      <c r="B19" s="103"/>
      <c r="C19" s="787"/>
      <c r="D19" s="746"/>
      <c r="E19" s="756"/>
      <c r="F19" s="788" t="str">
        <f t="shared" si="1"/>
        <v>----</v>
      </c>
      <c r="G19" s="756"/>
      <c r="H19" s="788" t="str">
        <f t="shared" si="2"/>
        <v>----</v>
      </c>
      <c r="I19" s="751"/>
      <c r="J19" s="789" t="str">
        <f t="shared" si="3"/>
        <v>----</v>
      </c>
    </row>
    <row r="20" spans="1:10">
      <c r="A20" s="102"/>
      <c r="B20" s="103"/>
      <c r="C20" s="787"/>
      <c r="D20" s="746"/>
      <c r="E20" s="756"/>
      <c r="F20" s="788" t="str">
        <f t="shared" si="1"/>
        <v>----</v>
      </c>
      <c r="G20" s="756"/>
      <c r="H20" s="788" t="str">
        <f t="shared" si="2"/>
        <v>----</v>
      </c>
      <c r="I20" s="751"/>
      <c r="J20" s="789" t="str">
        <f t="shared" si="3"/>
        <v>----</v>
      </c>
    </row>
    <row r="21" spans="1:10">
      <c r="A21" s="116"/>
      <c r="B21" s="117"/>
      <c r="C21" s="790"/>
      <c r="D21" s="807"/>
      <c r="E21" s="757"/>
      <c r="F21" s="791" t="str">
        <f t="shared" si="1"/>
        <v>----</v>
      </c>
      <c r="G21" s="757"/>
      <c r="H21" s="791" t="str">
        <f t="shared" si="2"/>
        <v>----</v>
      </c>
      <c r="I21" s="752"/>
      <c r="J21" s="792" t="str">
        <f t="shared" si="3"/>
        <v>----</v>
      </c>
    </row>
    <row r="22" spans="1:10" ht="15.75" thickBot="1">
      <c r="A22" s="74"/>
      <c r="B22" s="75"/>
      <c r="C22" s="800"/>
      <c r="D22" s="808"/>
      <c r="E22" s="814"/>
      <c r="F22" s="819" t="str">
        <f t="shared" si="1"/>
        <v>----</v>
      </c>
      <c r="G22" s="814"/>
      <c r="H22" s="819" t="str">
        <f t="shared" si="2"/>
        <v>----</v>
      </c>
      <c r="I22" s="811"/>
      <c r="J22" s="820" t="str">
        <f t="shared" si="3"/>
        <v>----</v>
      </c>
    </row>
    <row r="23" spans="1:10" ht="15.75" thickBot="1">
      <c r="A23" s="27"/>
      <c r="B23" s="27"/>
      <c r="C23" s="832"/>
      <c r="D23" s="832"/>
      <c r="E23" s="832"/>
      <c r="F23" s="833">
        <f>SUM(F4:F22)</f>
        <v>47229.26999999999</v>
      </c>
      <c r="G23" s="832"/>
      <c r="H23" s="833">
        <f>SUM(H4:H22)</f>
        <v>44882.790000000008</v>
      </c>
      <c r="I23" s="832"/>
      <c r="J23" s="833">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7" bestFit="1" customWidth="1"/>
    <col min="6" max="6" width="13.140625" style="437" customWidth="1"/>
    <col min="7" max="7" width="10.7109375" style="437" bestFit="1" customWidth="1"/>
    <col min="8" max="8" width="13.140625" style="437" customWidth="1"/>
    <col min="9" max="9" width="10.7109375" bestFit="1" customWidth="1"/>
    <col min="10" max="10" width="13.140625" customWidth="1"/>
  </cols>
  <sheetData>
    <row r="1" spans="1:11" ht="15.75" thickBot="1">
      <c r="A1" s="932" t="s">
        <v>234</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43942</v>
      </c>
      <c r="B4" s="71" t="s">
        <v>237</v>
      </c>
      <c r="C4" s="72">
        <v>544795.73</v>
      </c>
      <c r="D4" s="434">
        <v>353625.73</v>
      </c>
      <c r="E4" s="474">
        <v>384267.16</v>
      </c>
      <c r="F4" s="475">
        <f t="shared" ref="F4:F17" si="0">IF(ISBLANK(E4),"----",E4-D4)</f>
        <v>30641.429999999993</v>
      </c>
      <c r="G4" s="474" t="s">
        <v>704</v>
      </c>
      <c r="H4" s="475" t="str">
        <f t="shared" ref="H4:H17" si="1">IF(OR(G4="Complete",ISBLANK(G4)),"----",G4-$D4)</f>
        <v>----</v>
      </c>
      <c r="I4" s="484" t="s">
        <v>704</v>
      </c>
      <c r="J4" s="73" t="str">
        <f t="shared" ref="J4:J17" si="2">IF(OR(I4="Complete",ISBLANK(I4)),"----",I4-$D4)</f>
        <v>----</v>
      </c>
      <c r="K4" t="s">
        <v>220</v>
      </c>
    </row>
    <row r="5" spans="1:11">
      <c r="A5" s="91">
        <v>43942</v>
      </c>
      <c r="B5" s="92" t="s">
        <v>238</v>
      </c>
      <c r="C5" s="84">
        <v>442371.11</v>
      </c>
      <c r="D5" s="482">
        <v>230367.62</v>
      </c>
      <c r="E5" s="487">
        <v>241534.22</v>
      </c>
      <c r="F5" s="529">
        <f t="shared" si="0"/>
        <v>11166.600000000006</v>
      </c>
      <c r="G5" s="487" t="s">
        <v>704</v>
      </c>
      <c r="H5" s="529" t="str">
        <f t="shared" si="1"/>
        <v>----</v>
      </c>
      <c r="I5" s="485" t="s">
        <v>704</v>
      </c>
      <c r="J5" s="140" t="str">
        <f t="shared" si="2"/>
        <v>----</v>
      </c>
      <c r="K5" t="s">
        <v>220</v>
      </c>
    </row>
    <row r="6" spans="1:11">
      <c r="A6" s="950">
        <v>44089</v>
      </c>
      <c r="B6" s="103" t="s">
        <v>579</v>
      </c>
      <c r="C6" s="87">
        <v>635224.61</v>
      </c>
      <c r="D6" s="471">
        <v>389434.61</v>
      </c>
      <c r="E6" s="478">
        <v>391016.05</v>
      </c>
      <c r="F6" s="529">
        <f t="shared" si="0"/>
        <v>1581.4400000000023</v>
      </c>
      <c r="G6" s="478" t="s">
        <v>704</v>
      </c>
      <c r="H6" s="529" t="str">
        <f t="shared" si="1"/>
        <v>----</v>
      </c>
      <c r="I6" s="491" t="s">
        <v>704</v>
      </c>
      <c r="J6" s="140" t="str">
        <f t="shared" si="2"/>
        <v>----</v>
      </c>
      <c r="K6" t="s">
        <v>220</v>
      </c>
    </row>
    <row r="7" spans="1:11">
      <c r="A7" s="952"/>
      <c r="B7" s="103" t="s">
        <v>580</v>
      </c>
      <c r="C7" s="87">
        <v>474197.12</v>
      </c>
      <c r="D7" s="471">
        <v>290141.02</v>
      </c>
      <c r="E7" s="478">
        <v>283181.40999999997</v>
      </c>
      <c r="F7" s="529">
        <f t="shared" si="0"/>
        <v>-6959.6100000000442</v>
      </c>
      <c r="G7" s="478" t="s">
        <v>704</v>
      </c>
      <c r="H7" s="529" t="str">
        <f t="shared" si="1"/>
        <v>----</v>
      </c>
      <c r="I7" s="491" t="s">
        <v>704</v>
      </c>
      <c r="J7" s="140" t="str">
        <f t="shared" si="2"/>
        <v>----</v>
      </c>
      <c r="K7" t="s">
        <v>220</v>
      </c>
    </row>
    <row r="8" spans="1:11">
      <c r="A8" s="102">
        <v>45308</v>
      </c>
      <c r="B8" s="103" t="s">
        <v>716</v>
      </c>
      <c r="C8" s="87">
        <f>2961328.63-1/2*(2961328.63-500000-1500000)</f>
        <v>2480664.3149999999</v>
      </c>
      <c r="D8" s="471">
        <f>(2961328.63-500000-1500000)*1/2</f>
        <v>480664.31499999994</v>
      </c>
      <c r="E8" s="478"/>
      <c r="F8" s="529" t="str">
        <f t="shared" si="0"/>
        <v>----</v>
      </c>
      <c r="G8" s="478"/>
      <c r="H8" s="529" t="str">
        <f t="shared" si="1"/>
        <v>----</v>
      </c>
      <c r="I8" s="491"/>
      <c r="J8" s="140" t="str">
        <f t="shared" si="2"/>
        <v>----</v>
      </c>
      <c r="K8" t="s">
        <v>723</v>
      </c>
    </row>
    <row r="9" spans="1:11">
      <c r="A9" s="102"/>
      <c r="B9" s="103"/>
      <c r="C9" s="87"/>
      <c r="D9" s="471"/>
      <c r="E9" s="478"/>
      <c r="F9" s="529" t="str">
        <f t="shared" si="0"/>
        <v>----</v>
      </c>
      <c r="G9" s="478"/>
      <c r="H9" s="529" t="str">
        <f t="shared" si="1"/>
        <v>----</v>
      </c>
      <c r="I9" s="491"/>
      <c r="J9" s="140" t="str">
        <f t="shared" si="2"/>
        <v>----</v>
      </c>
    </row>
    <row r="10" spans="1:11">
      <c r="A10" s="102"/>
      <c r="B10" s="103"/>
      <c r="C10" s="87"/>
      <c r="D10" s="471"/>
      <c r="E10" s="478"/>
      <c r="F10" s="529" t="str">
        <f t="shared" si="0"/>
        <v>----</v>
      </c>
      <c r="G10" s="478"/>
      <c r="H10" s="529" t="str">
        <f t="shared" si="1"/>
        <v>----</v>
      </c>
      <c r="I10" s="491"/>
      <c r="J10" s="140" t="str">
        <f t="shared" si="2"/>
        <v>----</v>
      </c>
    </row>
    <row r="11" spans="1:11">
      <c r="A11" s="102"/>
      <c r="B11" s="103"/>
      <c r="C11" s="87"/>
      <c r="D11" s="471"/>
      <c r="E11" s="478"/>
      <c r="F11" s="529" t="str">
        <f t="shared" si="0"/>
        <v>----</v>
      </c>
      <c r="G11" s="478"/>
      <c r="H11" s="529" t="str">
        <f t="shared" si="1"/>
        <v>----</v>
      </c>
      <c r="I11" s="491"/>
      <c r="J11" s="140" t="str">
        <f t="shared" si="2"/>
        <v>----</v>
      </c>
    </row>
    <row r="12" spans="1:11">
      <c r="A12" s="102"/>
      <c r="B12" s="103"/>
      <c r="C12" s="87"/>
      <c r="D12" s="471"/>
      <c r="E12" s="478"/>
      <c r="F12" s="529" t="str">
        <f t="shared" si="0"/>
        <v>----</v>
      </c>
      <c r="G12" s="478"/>
      <c r="H12" s="529" t="str">
        <f t="shared" si="1"/>
        <v>----</v>
      </c>
      <c r="I12" s="491"/>
      <c r="J12" s="140" t="str">
        <f t="shared" si="2"/>
        <v>----</v>
      </c>
    </row>
    <row r="13" spans="1:11">
      <c r="A13" s="102"/>
      <c r="B13" s="103"/>
      <c r="C13" s="87"/>
      <c r="D13" s="471"/>
      <c r="E13" s="478"/>
      <c r="F13" s="529" t="str">
        <f t="shared" si="0"/>
        <v>----</v>
      </c>
      <c r="G13" s="478"/>
      <c r="H13" s="529" t="str">
        <f t="shared" si="1"/>
        <v>----</v>
      </c>
      <c r="I13" s="491"/>
      <c r="J13" s="140" t="str">
        <f t="shared" si="2"/>
        <v>----</v>
      </c>
    </row>
    <row r="14" spans="1:11">
      <c r="A14" s="102"/>
      <c r="B14" s="103"/>
      <c r="C14" s="87"/>
      <c r="D14" s="471"/>
      <c r="E14" s="478"/>
      <c r="F14" s="529" t="str">
        <f t="shared" si="0"/>
        <v>----</v>
      </c>
      <c r="G14" s="478"/>
      <c r="H14" s="529" t="str">
        <f t="shared" si="1"/>
        <v>----</v>
      </c>
      <c r="I14" s="491"/>
      <c r="J14" s="140" t="str">
        <f t="shared" si="2"/>
        <v>----</v>
      </c>
    </row>
    <row r="15" spans="1:11">
      <c r="A15" s="102"/>
      <c r="B15" s="103"/>
      <c r="C15" s="87"/>
      <c r="D15" s="471"/>
      <c r="E15" s="478"/>
      <c r="F15" s="529" t="str">
        <f t="shared" si="0"/>
        <v>----</v>
      </c>
      <c r="G15" s="478"/>
      <c r="H15" s="529" t="str">
        <f t="shared" si="1"/>
        <v>----</v>
      </c>
      <c r="I15" s="491"/>
      <c r="J15" s="140" t="str">
        <f t="shared" si="2"/>
        <v>----</v>
      </c>
    </row>
    <row r="16" spans="1:11">
      <c r="A16" s="116"/>
      <c r="B16" s="117"/>
      <c r="C16" s="118"/>
      <c r="D16" s="472"/>
      <c r="E16" s="479"/>
      <c r="F16" s="529" t="str">
        <f t="shared" si="0"/>
        <v>----</v>
      </c>
      <c r="G16" s="479"/>
      <c r="H16" s="529" t="str">
        <f t="shared" si="1"/>
        <v>----</v>
      </c>
      <c r="I16" s="493"/>
      <c r="J16" s="140" t="str">
        <f t="shared" si="2"/>
        <v>----</v>
      </c>
    </row>
    <row r="17" spans="1:10" ht="15.75" thickBot="1">
      <c r="A17" s="74"/>
      <c r="B17" s="75"/>
      <c r="C17" s="76"/>
      <c r="D17" s="435"/>
      <c r="E17" s="480"/>
      <c r="F17" s="481" t="str">
        <f t="shared" si="0"/>
        <v>----</v>
      </c>
      <c r="G17" s="480"/>
      <c r="H17" s="481" t="str">
        <f t="shared" si="1"/>
        <v>----</v>
      </c>
      <c r="I17" s="486"/>
      <c r="J17" s="77" t="str">
        <f t="shared" si="2"/>
        <v>----</v>
      </c>
    </row>
    <row r="18" spans="1:10" ht="15.75" thickBot="1">
      <c r="A18" s="27"/>
      <c r="B18" s="27"/>
      <c r="C18" s="28"/>
      <c r="D18" s="28"/>
      <c r="E18" s="444"/>
      <c r="F18" s="446">
        <f>SUM(F4:F17)</f>
        <v>36429.859999999957</v>
      </c>
      <c r="G18" s="444"/>
      <c r="H18" s="446">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7" bestFit="1" customWidth="1"/>
    <col min="6" max="6" width="9.85546875" style="437" bestFit="1" customWidth="1"/>
    <col min="7" max="7" width="10.7109375" style="437" bestFit="1" customWidth="1"/>
    <col min="8" max="8" width="9.85546875" style="437" bestFit="1" customWidth="1"/>
    <col min="9" max="9" width="10.7109375" bestFit="1" customWidth="1"/>
    <col min="10" max="10" width="9.85546875" bestFit="1" customWidth="1"/>
  </cols>
  <sheetData>
    <row r="1" spans="1:10" ht="15.75" thickBot="1">
      <c r="A1" s="932" t="s">
        <v>127</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43970</v>
      </c>
      <c r="B4" s="71" t="s">
        <v>117</v>
      </c>
      <c r="C4" s="72">
        <v>481614.8</v>
      </c>
      <c r="D4" s="434">
        <v>290444.79999999999</v>
      </c>
      <c r="E4" s="474">
        <v>293377.2</v>
      </c>
      <c r="F4" s="475">
        <f>IF(ISBLANK(E4),"----",E4-D4)</f>
        <v>2932.4000000000233</v>
      </c>
      <c r="G4" s="474" t="s">
        <v>704</v>
      </c>
      <c r="H4" s="475" t="str">
        <f>IF(OR(G4="Complete",ISBLANK(G4)),"----",G4-$D4)</f>
        <v>----</v>
      </c>
      <c r="I4" s="484" t="s">
        <v>704</v>
      </c>
      <c r="J4" s="73" t="str">
        <f>IF(OR(I4="Complete",ISBLANK(I4)),"----",I4-$D4)</f>
        <v>----</v>
      </c>
    </row>
    <row r="5" spans="1:10">
      <c r="A5" s="88">
        <v>43970</v>
      </c>
      <c r="B5" s="81" t="s">
        <v>118</v>
      </c>
      <c r="C5" s="82">
        <v>228175.5</v>
      </c>
      <c r="D5" s="436">
        <v>118935.5</v>
      </c>
      <c r="E5" s="476">
        <v>127172.93</v>
      </c>
      <c r="F5" s="477">
        <f>IF(ISBLANK(E5),"----",E5-D5)</f>
        <v>8237.429999999993</v>
      </c>
      <c r="G5" s="476" t="s">
        <v>704</v>
      </c>
      <c r="H5" s="477" t="str">
        <f>IF(OR(G5="Complete",ISBLANK(G5)),"----",G5-$D5)</f>
        <v>----</v>
      </c>
      <c r="I5" s="489" t="s">
        <v>704</v>
      </c>
      <c r="J5" s="83" t="str">
        <f>IF(OR(I5="Complete",ISBLANK(I5)),"----",I5-$D5)</f>
        <v>----</v>
      </c>
    </row>
    <row r="6" spans="1:10" s="437" customFormat="1">
      <c r="A6" s="89"/>
      <c r="B6" s="86"/>
      <c r="C6" s="451"/>
      <c r="D6" s="471"/>
      <c r="E6" s="478"/>
      <c r="F6" s="477" t="str">
        <f t="shared" ref="F6:F10" si="0">IF(ISBLANK(E6),"----",E6-D6)</f>
        <v>----</v>
      </c>
      <c r="G6" s="478"/>
      <c r="H6" s="477" t="str">
        <f t="shared" ref="H6:J10" si="1">IF(OR(G6="Complete",ISBLANK(G6)),"----",G6-$D6)</f>
        <v>----</v>
      </c>
      <c r="I6" s="491"/>
      <c r="J6" s="450" t="str">
        <f t="shared" si="1"/>
        <v>----</v>
      </c>
    </row>
    <row r="7" spans="1:10" s="437" customFormat="1">
      <c r="A7" s="89"/>
      <c r="B7" s="86"/>
      <c r="C7" s="451"/>
      <c r="D7" s="471"/>
      <c r="E7" s="478"/>
      <c r="F7" s="477" t="str">
        <f t="shared" si="0"/>
        <v>----</v>
      </c>
      <c r="G7" s="478"/>
      <c r="H7" s="477" t="str">
        <f t="shared" si="1"/>
        <v>----</v>
      </c>
      <c r="I7" s="491"/>
      <c r="J7" s="450" t="str">
        <f t="shared" si="1"/>
        <v>----</v>
      </c>
    </row>
    <row r="8" spans="1:10" s="437" customFormat="1">
      <c r="A8" s="89"/>
      <c r="B8" s="86"/>
      <c r="C8" s="451"/>
      <c r="D8" s="471"/>
      <c r="E8" s="478"/>
      <c r="F8" s="477" t="str">
        <f t="shared" si="0"/>
        <v>----</v>
      </c>
      <c r="G8" s="478"/>
      <c r="H8" s="477" t="str">
        <f t="shared" si="1"/>
        <v>----</v>
      </c>
      <c r="I8" s="491"/>
      <c r="J8" s="450" t="str">
        <f t="shared" si="1"/>
        <v>----</v>
      </c>
    </row>
    <row r="9" spans="1:10" s="437" customFormat="1">
      <c r="A9" s="89"/>
      <c r="B9" s="86"/>
      <c r="C9" s="451"/>
      <c r="D9" s="471"/>
      <c r="E9" s="478"/>
      <c r="F9" s="477" t="str">
        <f t="shared" si="0"/>
        <v>----</v>
      </c>
      <c r="G9" s="478"/>
      <c r="H9" s="477" t="str">
        <f t="shared" si="1"/>
        <v>----</v>
      </c>
      <c r="I9" s="491"/>
      <c r="J9" s="450" t="str">
        <f t="shared" si="1"/>
        <v>----</v>
      </c>
    </row>
    <row r="10" spans="1:10" s="437" customFormat="1">
      <c r="A10" s="89"/>
      <c r="B10" s="86"/>
      <c r="C10" s="451"/>
      <c r="D10" s="471"/>
      <c r="E10" s="478"/>
      <c r="F10" s="477" t="str">
        <f t="shared" si="0"/>
        <v>----</v>
      </c>
      <c r="G10" s="478"/>
      <c r="H10" s="477" t="str">
        <f t="shared" si="1"/>
        <v>----</v>
      </c>
      <c r="I10" s="491"/>
      <c r="J10" s="450" t="str">
        <f t="shared" si="1"/>
        <v>----</v>
      </c>
    </row>
    <row r="11" spans="1:10">
      <c r="A11" s="89"/>
      <c r="B11" s="86"/>
      <c r="C11" s="87"/>
      <c r="D11" s="471"/>
      <c r="E11" s="478"/>
      <c r="F11" s="477" t="str">
        <f>IF(ISBLANK(E11),"----",E11-D11)</f>
        <v>----</v>
      </c>
      <c r="G11" s="478"/>
      <c r="H11" s="477" t="str">
        <f>IF(OR(G11="Complete",ISBLANK(G11)),"----",G11-$D11)</f>
        <v>----</v>
      </c>
      <c r="I11" s="491"/>
      <c r="J11" s="83" t="str">
        <f>IF(OR(I11="Complete",ISBLANK(I11)),"----",I11-$D11)</f>
        <v>----</v>
      </c>
    </row>
    <row r="12" spans="1:10" ht="15.75" thickBot="1">
      <c r="A12" s="90"/>
      <c r="B12" s="78"/>
      <c r="C12" s="79"/>
      <c r="D12" s="555"/>
      <c r="E12" s="557"/>
      <c r="F12" s="558" t="str">
        <f>IF(ISBLANK(E12),"----",E12-D12)</f>
        <v>----</v>
      </c>
      <c r="G12" s="557"/>
      <c r="H12" s="558" t="str">
        <f>IF(OR(G12="Complete",ISBLANK(G12)),"----",G12-$D12)</f>
        <v>----</v>
      </c>
      <c r="I12" s="556"/>
      <c r="J12" s="80" t="str">
        <f>IF(OR(I12="Complete",ISBLANK(I12)),"----",I12-$D12)</f>
        <v>----</v>
      </c>
    </row>
    <row r="13" spans="1:10" ht="15.75" thickBot="1">
      <c r="A13" s="27"/>
      <c r="B13" s="27"/>
      <c r="C13" s="28"/>
      <c r="D13" s="28"/>
      <c r="E13" s="444"/>
      <c r="F13" s="446">
        <f>SUM(F4:F12)</f>
        <v>11169.830000000016</v>
      </c>
      <c r="G13" s="444"/>
      <c r="H13" s="446">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7"/>
  </cols>
  <sheetData>
    <row r="1" spans="1:11" ht="15.75" thickBot="1">
      <c r="A1" s="932" t="s">
        <v>282</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69" thickBot="1">
      <c r="A3" s="940"/>
      <c r="B3" s="942"/>
      <c r="C3" s="942"/>
      <c r="D3" s="954"/>
      <c r="E3" s="465" t="s">
        <v>121</v>
      </c>
      <c r="F3" s="473" t="s">
        <v>113</v>
      </c>
      <c r="G3" s="465" t="s">
        <v>121</v>
      </c>
      <c r="H3" s="473" t="s">
        <v>113</v>
      </c>
      <c r="I3" s="483" t="s">
        <v>121</v>
      </c>
      <c r="J3" s="25" t="s">
        <v>113</v>
      </c>
    </row>
    <row r="4" spans="1:11">
      <c r="A4" s="70">
        <v>44124</v>
      </c>
      <c r="B4" s="71" t="s">
        <v>318</v>
      </c>
      <c r="C4" s="72">
        <v>557533</v>
      </c>
      <c r="D4" s="434">
        <v>202503</v>
      </c>
      <c r="E4" s="474"/>
      <c r="F4" s="475" t="str">
        <f t="shared" ref="F4:F20" si="0">IF(ISBLANK(E4),"----",E4-D4)</f>
        <v>----</v>
      </c>
      <c r="G4" s="474"/>
      <c r="H4" s="475" t="str">
        <f t="shared" ref="H4:H20" si="1">IF(OR(G4="Complete",ISBLANK(G4)),"----",G4-$D4)</f>
        <v>----</v>
      </c>
      <c r="I4" s="484"/>
      <c r="J4" s="73" t="str">
        <f t="shared" ref="J4:J20" si="2">IF(OR(I4="Complete",ISBLANK(I4)),"----",I4-$D4)</f>
        <v>----</v>
      </c>
    </row>
    <row r="5" spans="1:11">
      <c r="A5" s="88">
        <v>44124</v>
      </c>
      <c r="B5" s="101" t="s">
        <v>319</v>
      </c>
      <c r="C5" s="82">
        <v>305110.7</v>
      </c>
      <c r="D5" s="436">
        <v>124864.7</v>
      </c>
      <c r="E5" s="476"/>
      <c r="F5" s="477" t="str">
        <f t="shared" si="0"/>
        <v>----</v>
      </c>
      <c r="G5" s="476"/>
      <c r="H5" s="477" t="str">
        <f t="shared" si="1"/>
        <v>----</v>
      </c>
      <c r="I5" s="489"/>
      <c r="J5" s="83" t="str">
        <f t="shared" si="2"/>
        <v>----</v>
      </c>
    </row>
    <row r="6" spans="1:11">
      <c r="A6" s="116">
        <v>44824</v>
      </c>
      <c r="B6" s="117" t="s">
        <v>567</v>
      </c>
      <c r="C6" s="118">
        <v>5426828.7999999998</v>
      </c>
      <c r="D6" s="472">
        <v>3290000</v>
      </c>
      <c r="E6" s="479"/>
      <c r="F6" s="492" t="str">
        <f t="shared" si="0"/>
        <v>----</v>
      </c>
      <c r="G6" s="479"/>
      <c r="H6" s="492" t="str">
        <f t="shared" si="1"/>
        <v>----</v>
      </c>
      <c r="I6" s="493"/>
      <c r="J6" s="119" t="str">
        <f t="shared" si="2"/>
        <v>----</v>
      </c>
      <c r="K6" t="s">
        <v>568</v>
      </c>
    </row>
    <row r="7" spans="1:11">
      <c r="A7" s="116"/>
      <c r="B7" s="117"/>
      <c r="C7" s="118"/>
      <c r="D7" s="472"/>
      <c r="E7" s="479"/>
      <c r="F7" s="492" t="str">
        <f t="shared" si="0"/>
        <v>----</v>
      </c>
      <c r="G7" s="479"/>
      <c r="H7" s="492" t="str">
        <f t="shared" si="1"/>
        <v>----</v>
      </c>
      <c r="I7" s="493"/>
      <c r="J7" s="119" t="str">
        <f t="shared" si="2"/>
        <v>----</v>
      </c>
    </row>
    <row r="8" spans="1:11">
      <c r="A8" s="116"/>
      <c r="B8" s="117"/>
      <c r="C8" s="118"/>
      <c r="D8" s="472"/>
      <c r="E8" s="479"/>
      <c r="F8" s="492" t="str">
        <f t="shared" si="0"/>
        <v>----</v>
      </c>
      <c r="G8" s="479"/>
      <c r="H8" s="492" t="str">
        <f t="shared" si="1"/>
        <v>----</v>
      </c>
      <c r="I8" s="493"/>
      <c r="J8" s="119" t="str">
        <f t="shared" si="2"/>
        <v>----</v>
      </c>
    </row>
    <row r="9" spans="1:11">
      <c r="A9" s="116"/>
      <c r="B9" s="117"/>
      <c r="C9" s="118"/>
      <c r="D9" s="472"/>
      <c r="E9" s="479"/>
      <c r="F9" s="492" t="str">
        <f t="shared" si="0"/>
        <v>----</v>
      </c>
      <c r="G9" s="479"/>
      <c r="H9" s="492" t="str">
        <f t="shared" si="1"/>
        <v>----</v>
      </c>
      <c r="I9" s="493"/>
      <c r="J9" s="119" t="str">
        <f t="shared" si="2"/>
        <v>----</v>
      </c>
    </row>
    <row r="10" spans="1:11">
      <c r="A10" s="116"/>
      <c r="B10" s="117"/>
      <c r="C10" s="118"/>
      <c r="D10" s="472"/>
      <c r="E10" s="479"/>
      <c r="F10" s="492" t="str">
        <f t="shared" si="0"/>
        <v>----</v>
      </c>
      <c r="G10" s="479"/>
      <c r="H10" s="492" t="str">
        <f t="shared" si="1"/>
        <v>----</v>
      </c>
      <c r="I10" s="493"/>
      <c r="J10" s="119" t="str">
        <f t="shared" si="2"/>
        <v>----</v>
      </c>
    </row>
    <row r="11" spans="1:11">
      <c r="A11" s="116"/>
      <c r="B11" s="117"/>
      <c r="C11" s="118"/>
      <c r="D11" s="472"/>
      <c r="E11" s="479"/>
      <c r="F11" s="492" t="str">
        <f t="shared" si="0"/>
        <v>----</v>
      </c>
      <c r="G11" s="479"/>
      <c r="H11" s="492" t="str">
        <f t="shared" si="1"/>
        <v>----</v>
      </c>
      <c r="I11" s="493"/>
      <c r="J11" s="119" t="str">
        <f t="shared" si="2"/>
        <v>----</v>
      </c>
    </row>
    <row r="12" spans="1:11">
      <c r="A12" s="116"/>
      <c r="B12" s="117"/>
      <c r="C12" s="118"/>
      <c r="D12" s="472"/>
      <c r="E12" s="479"/>
      <c r="F12" s="492" t="str">
        <f t="shared" si="0"/>
        <v>----</v>
      </c>
      <c r="G12" s="479"/>
      <c r="H12" s="492" t="str">
        <f t="shared" si="1"/>
        <v>----</v>
      </c>
      <c r="I12" s="493"/>
      <c r="J12" s="119" t="str">
        <f t="shared" si="2"/>
        <v>----</v>
      </c>
    </row>
    <row r="13" spans="1:11">
      <c r="A13" s="116"/>
      <c r="B13" s="117"/>
      <c r="C13" s="118"/>
      <c r="D13" s="472"/>
      <c r="E13" s="479"/>
      <c r="F13" s="492" t="str">
        <f t="shared" si="0"/>
        <v>----</v>
      </c>
      <c r="G13" s="479"/>
      <c r="H13" s="492" t="str">
        <f t="shared" si="1"/>
        <v>----</v>
      </c>
      <c r="I13" s="493"/>
      <c r="J13" s="119" t="str">
        <f t="shared" si="2"/>
        <v>----</v>
      </c>
    </row>
    <row r="14" spans="1:11">
      <c r="A14" s="116"/>
      <c r="B14" s="117"/>
      <c r="C14" s="118"/>
      <c r="D14" s="472"/>
      <c r="E14" s="479"/>
      <c r="F14" s="492" t="str">
        <f t="shared" si="0"/>
        <v>----</v>
      </c>
      <c r="G14" s="479"/>
      <c r="H14" s="492" t="str">
        <f t="shared" si="1"/>
        <v>----</v>
      </c>
      <c r="I14" s="493"/>
      <c r="J14" s="119" t="str">
        <f t="shared" si="2"/>
        <v>----</v>
      </c>
    </row>
    <row r="15" spans="1:11">
      <c r="A15" s="116"/>
      <c r="B15" s="117"/>
      <c r="C15" s="118"/>
      <c r="D15" s="472"/>
      <c r="E15" s="479"/>
      <c r="F15" s="492" t="str">
        <f t="shared" si="0"/>
        <v>----</v>
      </c>
      <c r="G15" s="479"/>
      <c r="H15" s="492" t="str">
        <f t="shared" si="1"/>
        <v>----</v>
      </c>
      <c r="I15" s="493"/>
      <c r="J15" s="119" t="str">
        <f t="shared" si="2"/>
        <v>----</v>
      </c>
    </row>
    <row r="16" spans="1:11">
      <c r="A16" s="116"/>
      <c r="B16" s="117"/>
      <c r="C16" s="118"/>
      <c r="D16" s="472"/>
      <c r="E16" s="479"/>
      <c r="F16" s="492" t="str">
        <f t="shared" si="0"/>
        <v>----</v>
      </c>
      <c r="G16" s="479"/>
      <c r="H16" s="492" t="str">
        <f t="shared" si="1"/>
        <v>----</v>
      </c>
      <c r="I16" s="493"/>
      <c r="J16" s="119" t="str">
        <f t="shared" si="2"/>
        <v>----</v>
      </c>
    </row>
    <row r="17" spans="1:10">
      <c r="A17" s="116"/>
      <c r="B17" s="117"/>
      <c r="C17" s="118"/>
      <c r="D17" s="472"/>
      <c r="E17" s="479"/>
      <c r="F17" s="492" t="str">
        <f t="shared" si="0"/>
        <v>----</v>
      </c>
      <c r="G17" s="479"/>
      <c r="H17" s="492" t="str">
        <f t="shared" si="1"/>
        <v>----</v>
      </c>
      <c r="I17" s="493"/>
      <c r="J17" s="119" t="str">
        <f t="shared" si="2"/>
        <v>----</v>
      </c>
    </row>
    <row r="18" spans="1:10">
      <c r="A18" s="116"/>
      <c r="B18" s="117"/>
      <c r="C18" s="118"/>
      <c r="D18" s="472"/>
      <c r="E18" s="479"/>
      <c r="F18" s="492" t="str">
        <f t="shared" si="0"/>
        <v>----</v>
      </c>
      <c r="G18" s="479"/>
      <c r="H18" s="492" t="str">
        <f t="shared" si="1"/>
        <v>----</v>
      </c>
      <c r="I18" s="493"/>
      <c r="J18" s="119" t="str">
        <f t="shared" si="2"/>
        <v>----</v>
      </c>
    </row>
    <row r="19" spans="1:10">
      <c r="A19" s="116"/>
      <c r="B19" s="117"/>
      <c r="C19" s="118"/>
      <c r="D19" s="472"/>
      <c r="E19" s="479"/>
      <c r="F19" s="492" t="str">
        <f t="shared" si="0"/>
        <v>----</v>
      </c>
      <c r="G19" s="479"/>
      <c r="H19" s="492" t="str">
        <f t="shared" si="1"/>
        <v>----</v>
      </c>
      <c r="I19" s="493"/>
      <c r="J19" s="119" t="str">
        <f t="shared" si="2"/>
        <v>----</v>
      </c>
    </row>
    <row r="20" spans="1:10" ht="15.75" thickBot="1">
      <c r="A20" s="74"/>
      <c r="B20" s="75"/>
      <c r="C20" s="76"/>
      <c r="D20" s="435"/>
      <c r="E20" s="480"/>
      <c r="F20" s="481" t="str">
        <f t="shared" si="0"/>
        <v>----</v>
      </c>
      <c r="G20" s="480"/>
      <c r="H20" s="481" t="str">
        <f t="shared" si="1"/>
        <v>----</v>
      </c>
      <c r="I20" s="486"/>
      <c r="J20" s="77" t="str">
        <f t="shared" si="2"/>
        <v>----</v>
      </c>
    </row>
    <row r="21" spans="1:10" ht="15.75" thickBot="1">
      <c r="A21" s="27"/>
      <c r="B21" s="27"/>
      <c r="C21" s="28"/>
      <c r="D21" s="28"/>
      <c r="E21" s="444"/>
      <c r="F21" s="446">
        <f>SUM(F4:F20)</f>
        <v>0</v>
      </c>
      <c r="G21" s="444"/>
      <c r="H21" s="446">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7" bestFit="1" customWidth="1"/>
    <col min="6" max="6" width="14" style="437" customWidth="1"/>
    <col min="7" max="7" width="10.7109375" style="437" bestFit="1" customWidth="1"/>
    <col min="8" max="8" width="14" style="437" customWidth="1"/>
    <col min="9" max="9" width="10.7109375" bestFit="1" customWidth="1"/>
    <col min="10" max="10" width="14" customWidth="1"/>
  </cols>
  <sheetData>
    <row r="1" spans="1:11" ht="15.75" thickBot="1">
      <c r="A1" s="932" t="s">
        <v>156</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43816</v>
      </c>
      <c r="B4" s="71" t="s">
        <v>165</v>
      </c>
      <c r="C4" s="798">
        <v>578425.56000000006</v>
      </c>
      <c r="D4" s="805">
        <f>C4</f>
        <v>578425.56000000006</v>
      </c>
      <c r="E4" s="812">
        <v>559893.65</v>
      </c>
      <c r="F4" s="821">
        <f t="shared" ref="F4:F20" si="0">IF(ISBLANK(E4),"----",E4-D4)</f>
        <v>-18531.910000000033</v>
      </c>
      <c r="G4" s="812" t="s">
        <v>704</v>
      </c>
      <c r="H4" s="821" t="str">
        <f t="shared" ref="H4:H20" si="1">IF(OR(G4="Complete",ISBLANK(G4)),"----",G4-$D4)</f>
        <v>----</v>
      </c>
      <c r="I4" s="809" t="s">
        <v>704</v>
      </c>
      <c r="J4" s="822" t="str">
        <f t="shared" ref="J4:J20" si="2">IF(OR(I4="Complete",ISBLANK(I4)),"----",I4-$D4)</f>
        <v>----</v>
      </c>
    </row>
    <row r="5" spans="1:11">
      <c r="A5" s="127">
        <v>44153</v>
      </c>
      <c r="B5" s="124" t="s">
        <v>339</v>
      </c>
      <c r="C5" s="767">
        <v>480183.61</v>
      </c>
      <c r="D5" s="768">
        <v>179773.59</v>
      </c>
      <c r="E5" s="769">
        <v>188943.94</v>
      </c>
      <c r="F5" s="678">
        <f t="shared" si="0"/>
        <v>9170.3500000000058</v>
      </c>
      <c r="G5" s="769" t="s">
        <v>704</v>
      </c>
      <c r="H5" s="678" t="str">
        <f t="shared" si="1"/>
        <v>----</v>
      </c>
      <c r="I5" s="771" t="s">
        <v>704</v>
      </c>
      <c r="J5" s="677" t="str">
        <f t="shared" si="2"/>
        <v>----</v>
      </c>
      <c r="K5" t="s">
        <v>736</v>
      </c>
    </row>
    <row r="6" spans="1:11">
      <c r="A6" s="120">
        <v>44880</v>
      </c>
      <c r="B6" s="121" t="s">
        <v>598</v>
      </c>
      <c r="C6" s="742">
        <v>575513.61</v>
      </c>
      <c r="D6" s="759">
        <f>C6</f>
        <v>575513.61</v>
      </c>
      <c r="E6" s="773"/>
      <c r="F6" s="678" t="str">
        <f t="shared" si="0"/>
        <v>----</v>
      </c>
      <c r="G6" s="773"/>
      <c r="H6" s="678" t="str">
        <f t="shared" si="1"/>
        <v>----</v>
      </c>
      <c r="I6" s="774"/>
      <c r="J6" s="677" t="str">
        <f t="shared" si="2"/>
        <v>----</v>
      </c>
    </row>
    <row r="7" spans="1:11">
      <c r="A7" s="120">
        <v>45615</v>
      </c>
      <c r="B7" s="121" t="s">
        <v>783</v>
      </c>
      <c r="C7" s="742">
        <v>514450.7</v>
      </c>
      <c r="D7" s="759">
        <f>C7</f>
        <v>514450.7</v>
      </c>
      <c r="E7" s="773"/>
      <c r="F7" s="678" t="str">
        <f t="shared" si="0"/>
        <v>----</v>
      </c>
      <c r="G7" s="773"/>
      <c r="H7" s="678" t="str">
        <f t="shared" si="1"/>
        <v>----</v>
      </c>
      <c r="I7" s="774"/>
      <c r="J7" s="677" t="str">
        <f t="shared" si="2"/>
        <v>----</v>
      </c>
    </row>
    <row r="8" spans="1:11">
      <c r="A8" s="120">
        <v>45734</v>
      </c>
      <c r="B8" s="121" t="s">
        <v>866</v>
      </c>
      <c r="C8" s="742">
        <v>1233758.6499999999</v>
      </c>
      <c r="D8" s="759">
        <f>C8</f>
        <v>1233758.6499999999</v>
      </c>
      <c r="E8" s="773"/>
      <c r="F8" s="678" t="str">
        <f t="shared" si="0"/>
        <v>----</v>
      </c>
      <c r="G8" s="773"/>
      <c r="H8" s="678" t="str">
        <f t="shared" si="1"/>
        <v>----</v>
      </c>
      <c r="I8" s="774"/>
      <c r="J8" s="677" t="str">
        <f t="shared" si="2"/>
        <v>----</v>
      </c>
    </row>
    <row r="9" spans="1:11">
      <c r="A9" s="120"/>
      <c r="B9" s="121"/>
      <c r="C9" s="742"/>
      <c r="D9" s="759"/>
      <c r="E9" s="773"/>
      <c r="F9" s="678" t="str">
        <f t="shared" si="0"/>
        <v>----</v>
      </c>
      <c r="G9" s="773"/>
      <c r="H9" s="678" t="str">
        <f t="shared" si="1"/>
        <v>----</v>
      </c>
      <c r="I9" s="774"/>
      <c r="J9" s="677" t="str">
        <f t="shared" si="2"/>
        <v>----</v>
      </c>
    </row>
    <row r="10" spans="1:11">
      <c r="A10" s="120"/>
      <c r="B10" s="121"/>
      <c r="C10" s="742"/>
      <c r="D10" s="759"/>
      <c r="E10" s="773"/>
      <c r="F10" s="678" t="str">
        <f t="shared" si="0"/>
        <v>----</v>
      </c>
      <c r="G10" s="773"/>
      <c r="H10" s="678" t="str">
        <f t="shared" si="1"/>
        <v>----</v>
      </c>
      <c r="I10" s="774"/>
      <c r="J10" s="677" t="str">
        <f t="shared" si="2"/>
        <v>----</v>
      </c>
    </row>
    <row r="11" spans="1:11">
      <c r="A11" s="120"/>
      <c r="B11" s="121"/>
      <c r="C11" s="742"/>
      <c r="D11" s="759"/>
      <c r="E11" s="773"/>
      <c r="F11" s="678" t="str">
        <f t="shared" si="0"/>
        <v>----</v>
      </c>
      <c r="G11" s="773"/>
      <c r="H11" s="678" t="str">
        <f t="shared" si="1"/>
        <v>----</v>
      </c>
      <c r="I11" s="774"/>
      <c r="J11" s="677" t="str">
        <f t="shared" si="2"/>
        <v>----</v>
      </c>
    </row>
    <row r="12" spans="1:11">
      <c r="A12" s="120"/>
      <c r="B12" s="121"/>
      <c r="C12" s="742"/>
      <c r="D12" s="759"/>
      <c r="E12" s="773"/>
      <c r="F12" s="678" t="str">
        <f t="shared" si="0"/>
        <v>----</v>
      </c>
      <c r="G12" s="773"/>
      <c r="H12" s="678" t="str">
        <f t="shared" si="1"/>
        <v>----</v>
      </c>
      <c r="I12" s="774"/>
      <c r="J12" s="677" t="str">
        <f t="shared" si="2"/>
        <v>----</v>
      </c>
    </row>
    <row r="13" spans="1:11">
      <c r="A13" s="120"/>
      <c r="B13" s="121"/>
      <c r="C13" s="742"/>
      <c r="D13" s="759"/>
      <c r="E13" s="773"/>
      <c r="F13" s="678" t="str">
        <f t="shared" si="0"/>
        <v>----</v>
      </c>
      <c r="G13" s="773"/>
      <c r="H13" s="678" t="str">
        <f t="shared" si="1"/>
        <v>----</v>
      </c>
      <c r="I13" s="774"/>
      <c r="J13" s="677" t="str">
        <f t="shared" si="2"/>
        <v>----</v>
      </c>
    </row>
    <row r="14" spans="1:11">
      <c r="A14" s="120"/>
      <c r="B14" s="121"/>
      <c r="C14" s="742"/>
      <c r="D14" s="759"/>
      <c r="E14" s="773"/>
      <c r="F14" s="678" t="str">
        <f t="shared" si="0"/>
        <v>----</v>
      </c>
      <c r="G14" s="773"/>
      <c r="H14" s="678" t="str">
        <f t="shared" si="1"/>
        <v>----</v>
      </c>
      <c r="I14" s="774"/>
      <c r="J14" s="677" t="str">
        <f t="shared" si="2"/>
        <v>----</v>
      </c>
    </row>
    <row r="15" spans="1:11">
      <c r="A15" s="120"/>
      <c r="B15" s="121"/>
      <c r="C15" s="742"/>
      <c r="D15" s="759"/>
      <c r="E15" s="773"/>
      <c r="F15" s="678" t="str">
        <f t="shared" si="0"/>
        <v>----</v>
      </c>
      <c r="G15" s="773"/>
      <c r="H15" s="678" t="str">
        <f t="shared" si="1"/>
        <v>----</v>
      </c>
      <c r="I15" s="774"/>
      <c r="J15" s="677" t="str">
        <f t="shared" si="2"/>
        <v>----</v>
      </c>
    </row>
    <row r="16" spans="1:11">
      <c r="A16" s="120"/>
      <c r="B16" s="121"/>
      <c r="C16" s="742"/>
      <c r="D16" s="759"/>
      <c r="E16" s="773"/>
      <c r="F16" s="678" t="str">
        <f t="shared" si="0"/>
        <v>----</v>
      </c>
      <c r="G16" s="773"/>
      <c r="H16" s="678" t="str">
        <f t="shared" si="1"/>
        <v>----</v>
      </c>
      <c r="I16" s="774"/>
      <c r="J16" s="677" t="str">
        <f t="shared" si="2"/>
        <v>----</v>
      </c>
    </row>
    <row r="17" spans="1:10">
      <c r="A17" s="120"/>
      <c r="B17" s="121"/>
      <c r="C17" s="742"/>
      <c r="D17" s="759"/>
      <c r="E17" s="773"/>
      <c r="F17" s="678" t="str">
        <f t="shared" si="0"/>
        <v>----</v>
      </c>
      <c r="G17" s="773"/>
      <c r="H17" s="678" t="str">
        <f t="shared" si="1"/>
        <v>----</v>
      </c>
      <c r="I17" s="774"/>
      <c r="J17" s="677" t="str">
        <f t="shared" si="2"/>
        <v>----</v>
      </c>
    </row>
    <row r="18" spans="1:10">
      <c r="A18" s="120"/>
      <c r="B18" s="121"/>
      <c r="C18" s="742"/>
      <c r="D18" s="759"/>
      <c r="E18" s="773"/>
      <c r="F18" s="678" t="str">
        <f t="shared" si="0"/>
        <v>----</v>
      </c>
      <c r="G18" s="773"/>
      <c r="H18" s="678" t="str">
        <f t="shared" si="1"/>
        <v>----</v>
      </c>
      <c r="I18" s="774"/>
      <c r="J18" s="677" t="str">
        <f t="shared" si="2"/>
        <v>----</v>
      </c>
    </row>
    <row r="19" spans="1:10">
      <c r="A19" s="123"/>
      <c r="C19" s="743"/>
      <c r="D19" s="760"/>
      <c r="E19" s="781"/>
      <c r="F19" s="678" t="str">
        <f t="shared" si="0"/>
        <v>----</v>
      </c>
      <c r="G19" s="781"/>
      <c r="H19" s="678" t="str">
        <f t="shared" si="1"/>
        <v>----</v>
      </c>
      <c r="I19" s="782"/>
      <c r="J19" s="677" t="str">
        <f t="shared" si="2"/>
        <v>----</v>
      </c>
    </row>
    <row r="20" spans="1:10" ht="15.75" thickBot="1">
      <c r="A20" s="74"/>
      <c r="B20" s="75"/>
      <c r="C20" s="800"/>
      <c r="D20" s="808"/>
      <c r="E20" s="814"/>
      <c r="F20" s="819" t="str">
        <f t="shared" si="0"/>
        <v>----</v>
      </c>
      <c r="G20" s="814"/>
      <c r="H20" s="819" t="str">
        <f t="shared" si="1"/>
        <v>----</v>
      </c>
      <c r="I20" s="811"/>
      <c r="J20" s="820" t="str">
        <f t="shared" si="2"/>
        <v>----</v>
      </c>
    </row>
    <row r="21" spans="1:10" ht="15.75" thickBot="1">
      <c r="A21" s="27"/>
      <c r="B21" s="27"/>
      <c r="C21" s="832"/>
      <c r="D21" s="832"/>
      <c r="E21" s="832"/>
      <c r="F21" s="833">
        <f>SUM(F4:F20)</f>
        <v>-9361.5600000000268</v>
      </c>
      <c r="G21" s="832"/>
      <c r="H21" s="833">
        <f>SUM(H4:H20)</f>
        <v>0</v>
      </c>
      <c r="I21" s="832"/>
      <c r="J21" s="833">
        <f>SUM(J4:J20)</f>
        <v>0</v>
      </c>
    </row>
    <row r="22" spans="1:10">
      <c r="C22" s="736"/>
      <c r="D22" s="736"/>
      <c r="E22" s="736"/>
      <c r="F22" s="736"/>
      <c r="G22" s="736"/>
      <c r="H22" s="736"/>
      <c r="I22" s="736"/>
      <c r="J22" s="73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7" bestFit="1" customWidth="1"/>
    <col min="6" max="6" width="11.85546875" style="437" customWidth="1"/>
    <col min="7" max="7" width="12" style="437" bestFit="1" customWidth="1"/>
    <col min="8" max="8" width="11.85546875" style="437" customWidth="1"/>
    <col min="9" max="9" width="12" bestFit="1" customWidth="1"/>
    <col min="10" max="10" width="11.85546875" customWidth="1"/>
  </cols>
  <sheetData>
    <row r="1" spans="1:12" ht="15.75" thickBot="1">
      <c r="A1" s="932" t="s">
        <v>128</v>
      </c>
      <c r="B1" s="933"/>
      <c r="C1" s="933"/>
      <c r="D1" s="933"/>
      <c r="E1" s="933"/>
      <c r="F1" s="933"/>
      <c r="G1" s="933"/>
      <c r="H1" s="933"/>
      <c r="I1" s="933"/>
      <c r="J1" s="934"/>
    </row>
    <row r="2" spans="1:12" s="437" customFormat="1">
      <c r="A2" s="939" t="s">
        <v>110</v>
      </c>
      <c r="B2" s="941" t="s">
        <v>111</v>
      </c>
      <c r="C2" s="941" t="s">
        <v>112</v>
      </c>
      <c r="D2" s="953" t="s">
        <v>120</v>
      </c>
      <c r="E2" s="937" t="s">
        <v>702</v>
      </c>
      <c r="F2" s="938"/>
      <c r="G2" s="937" t="s">
        <v>703</v>
      </c>
      <c r="H2" s="938"/>
      <c r="I2" s="912" t="s">
        <v>801</v>
      </c>
      <c r="J2" s="913"/>
    </row>
    <row r="3" spans="1:12" ht="57.75" thickBot="1">
      <c r="A3" s="940"/>
      <c r="B3" s="942"/>
      <c r="C3" s="942"/>
      <c r="D3" s="954"/>
      <c r="E3" s="465" t="s">
        <v>121</v>
      </c>
      <c r="F3" s="473" t="s">
        <v>113</v>
      </c>
      <c r="G3" s="465" t="s">
        <v>121</v>
      </c>
      <c r="H3" s="473" t="s">
        <v>113</v>
      </c>
      <c r="I3" s="483" t="s">
        <v>121</v>
      </c>
      <c r="J3" s="25" t="s">
        <v>113</v>
      </c>
    </row>
    <row r="4" spans="1:12">
      <c r="A4" s="70">
        <v>43970</v>
      </c>
      <c r="B4" s="71" t="s">
        <v>119</v>
      </c>
      <c r="C4" s="798">
        <v>1878163.05</v>
      </c>
      <c r="D4" s="805">
        <f>C4</f>
        <v>1878163.05</v>
      </c>
      <c r="E4" s="812">
        <v>1894818.47</v>
      </c>
      <c r="F4" s="821">
        <f t="shared" ref="F4:F27" si="0">IF(ISBLANK(E4),"----",E4-D4)</f>
        <v>16655.419999999925</v>
      </c>
      <c r="G4" s="812" t="s">
        <v>704</v>
      </c>
      <c r="H4" s="821" t="str">
        <f t="shared" ref="H4:H27" si="1">IF(OR(G4="Complete",ISBLANK(G4)),"----",G4-$D4)</f>
        <v>----</v>
      </c>
      <c r="I4" s="809" t="s">
        <v>704</v>
      </c>
      <c r="J4" s="822" t="str">
        <f t="shared" ref="J4:J27" si="2">IF(OR(I4="Complete",ISBLANK(I4)),"----",I4-$D4)</f>
        <v>----</v>
      </c>
    </row>
    <row r="5" spans="1:12">
      <c r="A5" s="88">
        <v>43907</v>
      </c>
      <c r="B5" s="101" t="s">
        <v>229</v>
      </c>
      <c r="C5" s="801">
        <v>477385.1</v>
      </c>
      <c r="D5" s="806">
        <f>C5</f>
        <v>477385.1</v>
      </c>
      <c r="E5" s="813"/>
      <c r="F5" s="825" t="str">
        <f t="shared" si="0"/>
        <v>----</v>
      </c>
      <c r="G5" s="813"/>
      <c r="H5" s="825" t="str">
        <f t="shared" si="1"/>
        <v>----</v>
      </c>
      <c r="I5" s="810"/>
      <c r="J5" s="826" t="str">
        <f t="shared" si="2"/>
        <v>----</v>
      </c>
    </row>
    <row r="6" spans="1:12">
      <c r="A6" s="91">
        <v>44124</v>
      </c>
      <c r="B6" s="92" t="s">
        <v>308</v>
      </c>
      <c r="C6" s="799">
        <f>1808794.7/2</f>
        <v>904397.35</v>
      </c>
      <c r="D6" s="815">
        <f>361758.94/2</f>
        <v>180879.47</v>
      </c>
      <c r="E6" s="817"/>
      <c r="F6" s="679" t="str">
        <f t="shared" si="0"/>
        <v>----</v>
      </c>
      <c r="G6" s="817">
        <f>(1828683.75-1462947)/2</f>
        <v>182868.375</v>
      </c>
      <c r="H6" s="679">
        <f t="shared" si="1"/>
        <v>1988.9049999999988</v>
      </c>
      <c r="I6" s="816" t="s">
        <v>704</v>
      </c>
      <c r="J6" s="680" t="str">
        <f t="shared" si="2"/>
        <v>----</v>
      </c>
      <c r="K6" t="s">
        <v>323</v>
      </c>
    </row>
    <row r="7" spans="1:12">
      <c r="A7" s="102">
        <v>44362</v>
      </c>
      <c r="B7" s="103" t="s">
        <v>432</v>
      </c>
      <c r="C7" s="787">
        <v>481912.75</v>
      </c>
      <c r="D7" s="746">
        <f t="shared" ref="D7:D15" si="3">C7</f>
        <v>481912.75</v>
      </c>
      <c r="E7" s="756"/>
      <c r="F7" s="825" t="str">
        <f t="shared" si="0"/>
        <v>----</v>
      </c>
      <c r="G7" s="756">
        <v>476478.49</v>
      </c>
      <c r="H7" s="825">
        <f t="shared" si="1"/>
        <v>-5434.2600000000093</v>
      </c>
      <c r="I7" s="751" t="s">
        <v>704</v>
      </c>
      <c r="J7" s="826" t="str">
        <f t="shared" si="2"/>
        <v>----</v>
      </c>
    </row>
    <row r="8" spans="1:12">
      <c r="A8" s="102">
        <v>44425</v>
      </c>
      <c r="B8" s="103" t="s">
        <v>450</v>
      </c>
      <c r="C8" s="787">
        <v>594695.03</v>
      </c>
      <c r="D8" s="746">
        <f t="shared" si="3"/>
        <v>594695.03</v>
      </c>
      <c r="E8" s="756"/>
      <c r="F8" s="825" t="str">
        <f t="shared" si="0"/>
        <v>----</v>
      </c>
      <c r="G8" s="756"/>
      <c r="H8" s="825" t="str">
        <f t="shared" si="1"/>
        <v>----</v>
      </c>
      <c r="I8" s="751"/>
      <c r="J8" s="826" t="str">
        <f t="shared" si="2"/>
        <v>----</v>
      </c>
    </row>
    <row r="9" spans="1:12">
      <c r="A9" s="130">
        <v>44516</v>
      </c>
      <c r="B9" s="117" t="s">
        <v>470</v>
      </c>
      <c r="C9" s="836">
        <v>925595.9</v>
      </c>
      <c r="D9" s="837">
        <f t="shared" si="3"/>
        <v>925595.9</v>
      </c>
      <c r="E9" s="838"/>
      <c r="F9" s="825" t="str">
        <f t="shared" si="0"/>
        <v>----</v>
      </c>
      <c r="G9" s="838">
        <v>918315.2</v>
      </c>
      <c r="H9" s="825">
        <f t="shared" si="1"/>
        <v>-7280.7000000000698</v>
      </c>
      <c r="I9" s="839" t="s">
        <v>704</v>
      </c>
      <c r="J9" s="826" t="str">
        <f t="shared" si="2"/>
        <v>----</v>
      </c>
    </row>
    <row r="10" spans="1:12">
      <c r="A10" s="130">
        <v>44789</v>
      </c>
      <c r="B10" s="228" t="s">
        <v>554</v>
      </c>
      <c r="C10" s="836">
        <v>1599632.01</v>
      </c>
      <c r="D10" s="837">
        <f t="shared" si="3"/>
        <v>1599632.01</v>
      </c>
      <c r="E10" s="838"/>
      <c r="F10" s="825" t="str">
        <f t="shared" si="0"/>
        <v>----</v>
      </c>
      <c r="G10" s="838"/>
      <c r="H10" s="825" t="str">
        <f t="shared" si="1"/>
        <v>----</v>
      </c>
      <c r="I10" s="839"/>
      <c r="J10" s="826" t="str">
        <f t="shared" si="2"/>
        <v>----</v>
      </c>
      <c r="L10" t="s">
        <v>555</v>
      </c>
    </row>
    <row r="11" spans="1:12">
      <c r="A11" s="130">
        <v>44852</v>
      </c>
      <c r="B11" s="228" t="s">
        <v>577</v>
      </c>
      <c r="C11" s="836">
        <v>685341.17</v>
      </c>
      <c r="D11" s="837">
        <f t="shared" si="3"/>
        <v>685341.17</v>
      </c>
      <c r="E11" s="838"/>
      <c r="F11" s="825" t="str">
        <f t="shared" si="0"/>
        <v>----</v>
      </c>
      <c r="G11" s="838">
        <v>667877.59</v>
      </c>
      <c r="H11" s="825">
        <f t="shared" si="1"/>
        <v>-17463.580000000075</v>
      </c>
      <c r="I11" s="839" t="s">
        <v>704</v>
      </c>
      <c r="J11" s="826" t="str">
        <f t="shared" si="2"/>
        <v>----</v>
      </c>
    </row>
    <row r="12" spans="1:12">
      <c r="A12" s="130">
        <v>45370</v>
      </c>
      <c r="B12" s="228" t="s">
        <v>732</v>
      </c>
      <c r="C12" s="836">
        <v>243071.55</v>
      </c>
      <c r="D12" s="837">
        <f t="shared" si="3"/>
        <v>243071.55</v>
      </c>
      <c r="E12" s="838"/>
      <c r="F12" s="825" t="str">
        <f t="shared" si="0"/>
        <v>----</v>
      </c>
      <c r="G12" s="838"/>
      <c r="H12" s="825" t="str">
        <f t="shared" si="1"/>
        <v>----</v>
      </c>
      <c r="I12" s="839"/>
      <c r="J12" s="826" t="str">
        <f t="shared" si="2"/>
        <v>----</v>
      </c>
    </row>
    <row r="13" spans="1:12">
      <c r="A13" s="130">
        <v>45370</v>
      </c>
      <c r="B13" s="228" t="s">
        <v>733</v>
      </c>
      <c r="C13" s="836">
        <v>349646.75</v>
      </c>
      <c r="D13" s="837">
        <f t="shared" si="3"/>
        <v>349646.75</v>
      </c>
      <c r="E13" s="838"/>
      <c r="F13" s="825" t="str">
        <f t="shared" si="0"/>
        <v>----</v>
      </c>
      <c r="G13" s="838"/>
      <c r="H13" s="825" t="str">
        <f t="shared" si="1"/>
        <v>----</v>
      </c>
      <c r="I13" s="839"/>
      <c r="J13" s="826" t="str">
        <f t="shared" si="2"/>
        <v>----</v>
      </c>
    </row>
    <row r="14" spans="1:12">
      <c r="A14" s="130">
        <v>45433</v>
      </c>
      <c r="B14" s="228" t="s">
        <v>752</v>
      </c>
      <c r="C14" s="836">
        <v>243556.65</v>
      </c>
      <c r="D14" s="837">
        <f t="shared" si="3"/>
        <v>243556.65</v>
      </c>
      <c r="E14" s="838"/>
      <c r="F14" s="825" t="str">
        <f t="shared" si="0"/>
        <v>----</v>
      </c>
      <c r="G14" s="838"/>
      <c r="H14" s="825" t="str">
        <f t="shared" si="1"/>
        <v>----</v>
      </c>
      <c r="I14" s="839"/>
      <c r="J14" s="826" t="str">
        <f t="shared" si="2"/>
        <v>----</v>
      </c>
    </row>
    <row r="15" spans="1:12">
      <c r="A15" s="130">
        <v>45433</v>
      </c>
      <c r="B15" s="228" t="s">
        <v>753</v>
      </c>
      <c r="C15" s="836">
        <v>257474</v>
      </c>
      <c r="D15" s="837">
        <f t="shared" si="3"/>
        <v>257474</v>
      </c>
      <c r="E15" s="838"/>
      <c r="F15" s="825" t="str">
        <f t="shared" si="0"/>
        <v>----</v>
      </c>
      <c r="G15" s="838"/>
      <c r="H15" s="825" t="str">
        <f t="shared" si="1"/>
        <v>----</v>
      </c>
      <c r="I15" s="839"/>
      <c r="J15" s="826" t="str">
        <f t="shared" si="2"/>
        <v>----</v>
      </c>
    </row>
    <row r="16" spans="1:12">
      <c r="A16" s="964">
        <v>45706</v>
      </c>
      <c r="B16" s="220" t="s">
        <v>845</v>
      </c>
      <c r="C16" s="775">
        <f>332734.14/2</f>
        <v>166367.07</v>
      </c>
      <c r="D16" s="776">
        <f>C16</f>
        <v>166367.07</v>
      </c>
      <c r="E16" s="777"/>
      <c r="F16" s="834" t="str">
        <f t="shared" si="0"/>
        <v>----</v>
      </c>
      <c r="G16" s="777"/>
      <c r="H16" s="834" t="str">
        <f t="shared" si="1"/>
        <v>----</v>
      </c>
      <c r="I16" s="779"/>
      <c r="J16" s="835" t="str">
        <f t="shared" si="2"/>
        <v>----</v>
      </c>
      <c r="K16" s="797" t="s">
        <v>849</v>
      </c>
    </row>
    <row r="17" spans="1:11">
      <c r="A17" s="965"/>
      <c r="B17" s="220" t="s">
        <v>846</v>
      </c>
      <c r="C17" s="775">
        <f>237813.5/2</f>
        <v>118906.75</v>
      </c>
      <c r="D17" s="776">
        <f>C17</f>
        <v>118906.75</v>
      </c>
      <c r="E17" s="777"/>
      <c r="F17" s="834" t="str">
        <f t="shared" si="0"/>
        <v>----</v>
      </c>
      <c r="G17" s="777"/>
      <c r="H17" s="834" t="str">
        <f t="shared" si="1"/>
        <v>----</v>
      </c>
      <c r="I17" s="779"/>
      <c r="J17" s="835" t="str">
        <f t="shared" si="2"/>
        <v>----</v>
      </c>
      <c r="K17" s="797" t="s">
        <v>850</v>
      </c>
    </row>
    <row r="18" spans="1:11">
      <c r="A18" s="130">
        <v>45706</v>
      </c>
      <c r="B18" s="228" t="s">
        <v>853</v>
      </c>
      <c r="C18" s="836">
        <v>425894.18</v>
      </c>
      <c r="D18" s="837">
        <f>C18</f>
        <v>425894.18</v>
      </c>
      <c r="E18" s="838"/>
      <c r="F18" s="825" t="str">
        <f t="shared" si="0"/>
        <v>----</v>
      </c>
      <c r="G18" s="838"/>
      <c r="H18" s="825" t="str">
        <f t="shared" si="1"/>
        <v>----</v>
      </c>
      <c r="I18" s="839"/>
      <c r="J18" s="826" t="str">
        <f t="shared" si="2"/>
        <v>----</v>
      </c>
    </row>
    <row r="19" spans="1:11">
      <c r="A19" s="130">
        <v>45706</v>
      </c>
      <c r="B19" s="228" t="s">
        <v>854</v>
      </c>
      <c r="C19" s="836">
        <v>479993.2</v>
      </c>
      <c r="D19" s="837">
        <f>C19</f>
        <v>479993.2</v>
      </c>
      <c r="E19" s="838"/>
      <c r="F19" s="825" t="str">
        <f t="shared" si="0"/>
        <v>----</v>
      </c>
      <c r="G19" s="838"/>
      <c r="H19" s="825" t="str">
        <f t="shared" si="1"/>
        <v>----</v>
      </c>
      <c r="I19" s="839"/>
      <c r="J19" s="826" t="str">
        <f t="shared" si="2"/>
        <v>----</v>
      </c>
    </row>
    <row r="20" spans="1:11">
      <c r="A20" s="130"/>
      <c r="B20" s="228"/>
      <c r="C20" s="836"/>
      <c r="D20" s="837"/>
      <c r="E20" s="838"/>
      <c r="F20" s="825" t="str">
        <f t="shared" si="0"/>
        <v>----</v>
      </c>
      <c r="G20" s="838"/>
      <c r="H20" s="825" t="str">
        <f t="shared" si="1"/>
        <v>----</v>
      </c>
      <c r="I20" s="839"/>
      <c r="J20" s="826" t="str">
        <f t="shared" si="2"/>
        <v>----</v>
      </c>
    </row>
    <row r="21" spans="1:11">
      <c r="A21" s="130"/>
      <c r="B21" s="228"/>
      <c r="C21" s="836"/>
      <c r="D21" s="837"/>
      <c r="E21" s="838"/>
      <c r="F21" s="825" t="str">
        <f t="shared" si="0"/>
        <v>----</v>
      </c>
      <c r="G21" s="838"/>
      <c r="H21" s="825" t="str">
        <f t="shared" si="1"/>
        <v>----</v>
      </c>
      <c r="I21" s="839"/>
      <c r="J21" s="826" t="str">
        <f t="shared" si="2"/>
        <v>----</v>
      </c>
    </row>
    <row r="22" spans="1:11">
      <c r="A22" s="130"/>
      <c r="B22" s="228"/>
      <c r="C22" s="836"/>
      <c r="D22" s="837"/>
      <c r="E22" s="838"/>
      <c r="F22" s="825" t="str">
        <f t="shared" si="0"/>
        <v>----</v>
      </c>
      <c r="G22" s="838"/>
      <c r="H22" s="825" t="str">
        <f t="shared" si="1"/>
        <v>----</v>
      </c>
      <c r="I22" s="839"/>
      <c r="J22" s="826" t="str">
        <f t="shared" si="2"/>
        <v>----</v>
      </c>
    </row>
    <row r="23" spans="1:11">
      <c r="A23" s="130"/>
      <c r="B23" s="228"/>
      <c r="C23" s="836"/>
      <c r="D23" s="837"/>
      <c r="E23" s="838"/>
      <c r="F23" s="825" t="str">
        <f t="shared" si="0"/>
        <v>----</v>
      </c>
      <c r="G23" s="838"/>
      <c r="H23" s="825" t="str">
        <f t="shared" si="1"/>
        <v>----</v>
      </c>
      <c r="I23" s="839"/>
      <c r="J23" s="826" t="str">
        <f t="shared" si="2"/>
        <v>----</v>
      </c>
    </row>
    <row r="24" spans="1:11">
      <c r="A24" s="130"/>
      <c r="B24" s="228"/>
      <c r="C24" s="836"/>
      <c r="D24" s="837"/>
      <c r="E24" s="838"/>
      <c r="F24" s="825" t="str">
        <f t="shared" si="0"/>
        <v>----</v>
      </c>
      <c r="G24" s="838"/>
      <c r="H24" s="825" t="str">
        <f t="shared" si="1"/>
        <v>----</v>
      </c>
      <c r="I24" s="839"/>
      <c r="J24" s="826" t="str">
        <f t="shared" si="2"/>
        <v>----</v>
      </c>
    </row>
    <row r="25" spans="1:11">
      <c r="A25" s="130"/>
      <c r="B25" s="228"/>
      <c r="C25" s="836"/>
      <c r="D25" s="837"/>
      <c r="E25" s="838"/>
      <c r="F25" s="825" t="str">
        <f t="shared" si="0"/>
        <v>----</v>
      </c>
      <c r="G25" s="838"/>
      <c r="H25" s="825" t="str">
        <f t="shared" si="1"/>
        <v>----</v>
      </c>
      <c r="I25" s="839"/>
      <c r="J25" s="826" t="str">
        <f t="shared" si="2"/>
        <v>----</v>
      </c>
    </row>
    <row r="26" spans="1:11">
      <c r="A26" s="116"/>
      <c r="B26" s="117"/>
      <c r="C26" s="790"/>
      <c r="D26" s="807"/>
      <c r="E26" s="757"/>
      <c r="F26" s="825" t="str">
        <f t="shared" si="0"/>
        <v>----</v>
      </c>
      <c r="G26" s="757"/>
      <c r="H26" s="825" t="str">
        <f t="shared" si="1"/>
        <v>----</v>
      </c>
      <c r="I26" s="752"/>
      <c r="J26" s="826" t="str">
        <f t="shared" si="2"/>
        <v>----</v>
      </c>
    </row>
    <row r="27" spans="1:11" ht="15.75" thickBot="1">
      <c r="A27" s="74"/>
      <c r="B27" s="75"/>
      <c r="C27" s="800"/>
      <c r="D27" s="808"/>
      <c r="E27" s="814"/>
      <c r="F27" s="819" t="str">
        <f t="shared" si="0"/>
        <v>----</v>
      </c>
      <c r="G27" s="814"/>
      <c r="H27" s="819" t="str">
        <f t="shared" si="1"/>
        <v>----</v>
      </c>
      <c r="I27" s="811"/>
      <c r="J27" s="820" t="str">
        <f t="shared" si="2"/>
        <v>----</v>
      </c>
    </row>
    <row r="28" spans="1:11" ht="15.75" thickBot="1">
      <c r="A28" s="27"/>
      <c r="B28" s="27"/>
      <c r="C28" s="832"/>
      <c r="D28" s="832"/>
      <c r="E28" s="832"/>
      <c r="F28" s="833">
        <f>SUM(F4:F27)</f>
        <v>16655.419999999925</v>
      </c>
      <c r="G28" s="832"/>
      <c r="H28" s="833">
        <f>SUM(H4:H27)</f>
        <v>-28189.635000000155</v>
      </c>
      <c r="I28" s="832"/>
      <c r="J28" s="833">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23"/>
  <sheetViews>
    <sheetView workbookViewId="0">
      <selection activeCell="I7" sqref="I7"/>
    </sheetView>
  </sheetViews>
  <sheetFormatPr defaultRowHeight="15"/>
  <cols>
    <col min="2" max="2" width="23" bestFit="1" customWidth="1"/>
    <col min="3" max="3" width="11.140625" bestFit="1" customWidth="1"/>
    <col min="4" max="4" width="11.7109375" customWidth="1"/>
    <col min="5" max="5" width="10.7109375" style="437" bestFit="1" customWidth="1"/>
    <col min="6" max="6" width="9.5703125" style="437" bestFit="1" customWidth="1"/>
    <col min="7" max="7" width="10.7109375" style="437" bestFit="1" customWidth="1"/>
    <col min="8" max="8" width="10.5703125" style="437" customWidth="1"/>
    <col min="9" max="9" width="10.7109375" bestFit="1" customWidth="1"/>
    <col min="10" max="10" width="10.5703125" customWidth="1"/>
    <col min="14" max="14" width="12.5703125" bestFit="1" customWidth="1"/>
    <col min="18" max="18" width="11.5703125" bestFit="1" customWidth="1"/>
  </cols>
  <sheetData>
    <row r="1" spans="1:18" ht="15.75" thickBot="1">
      <c r="A1" s="932" t="s">
        <v>248</v>
      </c>
      <c r="B1" s="933"/>
      <c r="C1" s="933"/>
      <c r="D1" s="933"/>
      <c r="E1" s="933"/>
      <c r="F1" s="933"/>
      <c r="G1" s="933"/>
      <c r="H1" s="933"/>
      <c r="I1" s="933"/>
      <c r="J1" s="934"/>
    </row>
    <row r="2" spans="1:18" s="437" customFormat="1" ht="15" customHeight="1">
      <c r="A2" s="939" t="s">
        <v>110</v>
      </c>
      <c r="B2" s="941" t="s">
        <v>111</v>
      </c>
      <c r="C2" s="941" t="s">
        <v>112</v>
      </c>
      <c r="D2" s="943" t="s">
        <v>120</v>
      </c>
      <c r="E2" s="937" t="s">
        <v>702</v>
      </c>
      <c r="F2" s="938"/>
      <c r="G2" s="937" t="s">
        <v>703</v>
      </c>
      <c r="H2" s="938"/>
      <c r="I2" s="912" t="s">
        <v>801</v>
      </c>
      <c r="J2" s="913"/>
    </row>
    <row r="3" spans="1:18" ht="57.75" thickBot="1">
      <c r="A3" s="940"/>
      <c r="B3" s="942"/>
      <c r="C3" s="942"/>
      <c r="D3" s="944"/>
      <c r="E3" s="465" t="s">
        <v>121</v>
      </c>
      <c r="F3" s="473" t="s">
        <v>705</v>
      </c>
      <c r="G3" s="465" t="s">
        <v>121</v>
      </c>
      <c r="H3" s="473" t="s">
        <v>705</v>
      </c>
      <c r="I3" s="483" t="s">
        <v>121</v>
      </c>
      <c r="J3" s="25" t="s">
        <v>705</v>
      </c>
    </row>
    <row r="4" spans="1:18">
      <c r="A4" s="70">
        <v>43998</v>
      </c>
      <c r="B4" s="71" t="s">
        <v>290</v>
      </c>
      <c r="C4" s="72">
        <v>372896.05</v>
      </c>
      <c r="D4" s="434">
        <f>C4</f>
        <v>372896.05</v>
      </c>
      <c r="E4" s="474">
        <v>382349.78</v>
      </c>
      <c r="F4" s="475">
        <f>IF(ISBLANK(E4),"----",E4-$D4)</f>
        <v>9453.7300000000396</v>
      </c>
      <c r="G4" s="474" t="s">
        <v>704</v>
      </c>
      <c r="H4" s="475" t="str">
        <f t="shared" ref="H4:H22" si="0">IF(OR(G4="Complete",ISBLANK(G4)),"----",G4-$D4)</f>
        <v>----</v>
      </c>
      <c r="I4" s="484" t="s">
        <v>704</v>
      </c>
      <c r="J4" s="73" t="str">
        <f t="shared" ref="J4:J22" si="1">IF(OR(I4="Complete",ISBLANK(I4)),"----",I4-$D4)</f>
        <v>----</v>
      </c>
    </row>
    <row r="5" spans="1:18">
      <c r="A5" s="88">
        <v>44089</v>
      </c>
      <c r="B5" s="101" t="s">
        <v>303</v>
      </c>
      <c r="C5" s="82">
        <v>276665.5</v>
      </c>
      <c r="D5" s="436">
        <f>C5</f>
        <v>276665.5</v>
      </c>
      <c r="E5" s="476">
        <v>273156.69</v>
      </c>
      <c r="F5" s="477">
        <f t="shared" ref="F5:F22" si="2">IF(ISBLANK(E5),"----",E5-$D5)</f>
        <v>-3508.8099999999977</v>
      </c>
      <c r="G5" s="476" t="s">
        <v>704</v>
      </c>
      <c r="H5" s="477" t="str">
        <f t="shared" si="0"/>
        <v>----</v>
      </c>
      <c r="I5" s="489" t="s">
        <v>704</v>
      </c>
      <c r="J5" s="83" t="str">
        <f t="shared" si="1"/>
        <v>----</v>
      </c>
    </row>
    <row r="6" spans="1:18">
      <c r="A6" s="91">
        <v>44124</v>
      </c>
      <c r="B6" s="92" t="s">
        <v>308</v>
      </c>
      <c r="C6" s="84">
        <f>1808794.7/2</f>
        <v>904397.35</v>
      </c>
      <c r="D6" s="482">
        <f>361758.94/2</f>
        <v>180879.47</v>
      </c>
      <c r="E6" s="487"/>
      <c r="F6" s="477" t="str">
        <f t="shared" si="2"/>
        <v>----</v>
      </c>
      <c r="G6" s="487">
        <f>(1828683.75-1462947)/2</f>
        <v>182868.375</v>
      </c>
      <c r="H6" s="477">
        <f t="shared" si="0"/>
        <v>1988.9049999999988</v>
      </c>
      <c r="I6" s="485" t="s">
        <v>704</v>
      </c>
      <c r="J6" s="83" t="str">
        <f t="shared" si="1"/>
        <v>----</v>
      </c>
      <c r="K6" t="s">
        <v>322</v>
      </c>
    </row>
    <row r="7" spans="1:18">
      <c r="A7" s="947">
        <v>44153</v>
      </c>
      <c r="B7" s="121" t="s">
        <v>325</v>
      </c>
      <c r="C7" s="122">
        <v>731263.3</v>
      </c>
      <c r="D7" s="498">
        <v>335268.3</v>
      </c>
      <c r="E7" s="468"/>
      <c r="F7" s="477" t="str">
        <f t="shared" si="2"/>
        <v>----</v>
      </c>
      <c r="G7" s="468">
        <f>732025.53-395995</f>
        <v>336030.53</v>
      </c>
      <c r="H7" s="477">
        <f t="shared" si="0"/>
        <v>762.23000000003958</v>
      </c>
      <c r="I7" s="501" t="s">
        <v>704</v>
      </c>
      <c r="J7" s="83" t="str">
        <f t="shared" si="1"/>
        <v>----</v>
      </c>
      <c r="K7" t="s">
        <v>745</v>
      </c>
      <c r="N7" s="615"/>
    </row>
    <row r="8" spans="1:18">
      <c r="A8" s="948"/>
      <c r="B8" s="121" t="s">
        <v>326</v>
      </c>
      <c r="C8" s="122">
        <v>350956.95</v>
      </c>
      <c r="D8" s="498">
        <v>77856.95</v>
      </c>
      <c r="E8" s="468"/>
      <c r="F8" s="477" t="str">
        <f t="shared" si="2"/>
        <v>----</v>
      </c>
      <c r="G8" s="468">
        <f>351552.66-273100</f>
        <v>78452.659999999974</v>
      </c>
      <c r="H8" s="477">
        <f t="shared" si="0"/>
        <v>595.7099999999773</v>
      </c>
      <c r="I8" s="501" t="s">
        <v>704</v>
      </c>
      <c r="J8" s="83" t="str">
        <f t="shared" si="1"/>
        <v>----</v>
      </c>
      <c r="K8" s="437" t="s">
        <v>747</v>
      </c>
      <c r="Q8" t="s">
        <v>749</v>
      </c>
    </row>
    <row r="9" spans="1:18">
      <c r="A9" s="948"/>
      <c r="B9" s="121" t="s">
        <v>327</v>
      </c>
      <c r="C9" s="122">
        <v>437207.5</v>
      </c>
      <c r="D9" s="498">
        <v>218727.5</v>
      </c>
      <c r="E9" s="468"/>
      <c r="F9" s="477" t="str">
        <f t="shared" si="2"/>
        <v>----</v>
      </c>
      <c r="G9" s="468">
        <f>436064.45-218480</f>
        <v>217584.45</v>
      </c>
      <c r="H9" s="477">
        <f t="shared" si="0"/>
        <v>-1143.0499999999884</v>
      </c>
      <c r="I9" s="501" t="s">
        <v>704</v>
      </c>
      <c r="J9" s="83" t="str">
        <f t="shared" si="1"/>
        <v>----</v>
      </c>
      <c r="K9" s="437" t="s">
        <v>748</v>
      </c>
      <c r="Q9" t="s">
        <v>750</v>
      </c>
    </row>
    <row r="10" spans="1:18">
      <c r="A10" s="949"/>
      <c r="B10" s="121" t="s">
        <v>328</v>
      </c>
      <c r="C10" s="122">
        <v>413012.45</v>
      </c>
      <c r="D10" s="498">
        <v>249152.45</v>
      </c>
      <c r="E10" s="468"/>
      <c r="F10" s="477" t="str">
        <f t="shared" si="2"/>
        <v>----</v>
      </c>
      <c r="G10" s="468">
        <f>458447.9-163860</f>
        <v>294587.90000000002</v>
      </c>
      <c r="H10" s="477">
        <f t="shared" si="0"/>
        <v>45435.450000000012</v>
      </c>
      <c r="I10" s="501" t="s">
        <v>704</v>
      </c>
      <c r="J10" s="83" t="str">
        <f t="shared" si="1"/>
        <v>----</v>
      </c>
      <c r="K10" s="437" t="s">
        <v>746</v>
      </c>
      <c r="R10" s="616"/>
    </row>
    <row r="11" spans="1:18">
      <c r="A11" s="120">
        <v>44180</v>
      </c>
      <c r="B11" s="121" t="s">
        <v>359</v>
      </c>
      <c r="C11" s="122">
        <v>635596.5</v>
      </c>
      <c r="D11" s="498">
        <f t="shared" ref="D11:D18" si="3">C11</f>
        <v>635596.5</v>
      </c>
      <c r="E11" s="468"/>
      <c r="F11" s="477" t="str">
        <f t="shared" si="2"/>
        <v>----</v>
      </c>
      <c r="G11" s="468">
        <v>632564.65</v>
      </c>
      <c r="H11" s="477">
        <f t="shared" si="0"/>
        <v>-3031.8499999999767</v>
      </c>
      <c r="I11" s="804" t="s">
        <v>704</v>
      </c>
      <c r="J11" s="83" t="str">
        <f t="shared" si="1"/>
        <v>----</v>
      </c>
    </row>
    <row r="12" spans="1:18">
      <c r="A12" s="120">
        <v>44460</v>
      </c>
      <c r="B12" s="121" t="s">
        <v>451</v>
      </c>
      <c r="C12" s="122">
        <v>335557.5</v>
      </c>
      <c r="D12" s="498">
        <f t="shared" si="3"/>
        <v>335557.5</v>
      </c>
      <c r="E12" s="468"/>
      <c r="F12" s="477" t="str">
        <f t="shared" si="2"/>
        <v>----</v>
      </c>
      <c r="G12" s="468">
        <v>342155.23</v>
      </c>
      <c r="H12" s="477">
        <f t="shared" si="0"/>
        <v>6597.7299999999814</v>
      </c>
      <c r="I12" s="501" t="s">
        <v>704</v>
      </c>
      <c r="J12" s="83" t="str">
        <f t="shared" si="1"/>
        <v>----</v>
      </c>
    </row>
    <row r="13" spans="1:18">
      <c r="A13" s="120">
        <v>44670</v>
      </c>
      <c r="B13" s="121" t="s">
        <v>513</v>
      </c>
      <c r="C13" s="122">
        <v>259701.6</v>
      </c>
      <c r="D13" s="498">
        <f t="shared" si="3"/>
        <v>259701.6</v>
      </c>
      <c r="E13" s="468"/>
      <c r="F13" s="477" t="str">
        <f t="shared" si="2"/>
        <v>----</v>
      </c>
      <c r="G13" s="468">
        <v>259147.81</v>
      </c>
      <c r="H13" s="477">
        <f t="shared" si="0"/>
        <v>-553.79000000000815</v>
      </c>
      <c r="I13" s="501" t="s">
        <v>704</v>
      </c>
      <c r="J13" s="83" t="str">
        <f t="shared" si="1"/>
        <v>----</v>
      </c>
    </row>
    <row r="14" spans="1:18">
      <c r="A14" s="273">
        <v>44824</v>
      </c>
      <c r="B14" s="274" t="s">
        <v>563</v>
      </c>
      <c r="C14" s="275">
        <v>485498.38</v>
      </c>
      <c r="D14" s="499">
        <f t="shared" si="3"/>
        <v>485498.38</v>
      </c>
      <c r="E14" s="504"/>
      <c r="F14" s="477" t="str">
        <f t="shared" si="2"/>
        <v>----</v>
      </c>
      <c r="G14" s="504">
        <v>472457.36</v>
      </c>
      <c r="H14" s="477">
        <f t="shared" si="0"/>
        <v>-13041.020000000019</v>
      </c>
      <c r="I14" s="501" t="s">
        <v>704</v>
      </c>
      <c r="J14" s="83" t="str">
        <f t="shared" si="1"/>
        <v>----</v>
      </c>
    </row>
    <row r="15" spans="1:18">
      <c r="A15" s="273">
        <v>45308</v>
      </c>
      <c r="B15" s="274" t="s">
        <v>708</v>
      </c>
      <c r="C15" s="605">
        <v>615355.4</v>
      </c>
      <c r="D15" s="606">
        <f t="shared" si="3"/>
        <v>615355.4</v>
      </c>
      <c r="E15" s="504"/>
      <c r="F15" s="477" t="str">
        <f t="shared" si="2"/>
        <v>----</v>
      </c>
      <c r="G15" s="504"/>
      <c r="H15" s="477" t="str">
        <f t="shared" si="0"/>
        <v>----</v>
      </c>
      <c r="I15" s="502"/>
      <c r="J15" s="83" t="str">
        <f t="shared" si="1"/>
        <v>----</v>
      </c>
    </row>
    <row r="16" spans="1:18">
      <c r="A16" s="273">
        <v>45398</v>
      </c>
      <c r="B16" s="274" t="s">
        <v>737</v>
      </c>
      <c r="C16" s="605">
        <v>453169.25</v>
      </c>
      <c r="D16" s="606">
        <f t="shared" si="3"/>
        <v>453169.25</v>
      </c>
      <c r="E16" s="504"/>
      <c r="F16" s="477" t="str">
        <f t="shared" si="2"/>
        <v>----</v>
      </c>
      <c r="G16" s="504"/>
      <c r="H16" s="477" t="str">
        <f t="shared" si="0"/>
        <v>----</v>
      </c>
      <c r="I16" s="502"/>
      <c r="J16" s="83" t="str">
        <f t="shared" si="1"/>
        <v>----</v>
      </c>
    </row>
    <row r="17" spans="1:10">
      <c r="A17" s="273">
        <v>45398</v>
      </c>
      <c r="B17" s="274" t="s">
        <v>738</v>
      </c>
      <c r="C17" s="605">
        <v>274495.75</v>
      </c>
      <c r="D17" s="606">
        <f t="shared" si="3"/>
        <v>274495.75</v>
      </c>
      <c r="E17" s="504"/>
      <c r="F17" s="477" t="str">
        <f t="shared" si="2"/>
        <v>----</v>
      </c>
      <c r="G17" s="504"/>
      <c r="H17" s="477" t="str">
        <f t="shared" si="0"/>
        <v>----</v>
      </c>
      <c r="I17" s="502"/>
      <c r="J17" s="83" t="str">
        <f t="shared" si="1"/>
        <v>----</v>
      </c>
    </row>
    <row r="18" spans="1:10">
      <c r="A18" s="273">
        <v>45615</v>
      </c>
      <c r="B18" s="274" t="s">
        <v>780</v>
      </c>
      <c r="C18" s="605">
        <v>459494.21</v>
      </c>
      <c r="D18" s="606">
        <f t="shared" si="3"/>
        <v>459494.21</v>
      </c>
      <c r="E18" s="504"/>
      <c r="F18" s="477" t="str">
        <f t="shared" si="2"/>
        <v>----</v>
      </c>
      <c r="G18" s="504"/>
      <c r="H18" s="477" t="str">
        <f t="shared" si="0"/>
        <v>----</v>
      </c>
      <c r="I18" s="502"/>
      <c r="J18" s="83" t="str">
        <f t="shared" si="1"/>
        <v>----</v>
      </c>
    </row>
    <row r="19" spans="1:10">
      <c r="A19" s="273"/>
      <c r="B19" s="274"/>
      <c r="C19" s="605"/>
      <c r="D19" s="606"/>
      <c r="E19" s="504"/>
      <c r="F19" s="477" t="str">
        <f t="shared" si="2"/>
        <v>----</v>
      </c>
      <c r="G19" s="504"/>
      <c r="H19" s="477" t="str">
        <f t="shared" si="0"/>
        <v>----</v>
      </c>
      <c r="I19" s="502"/>
      <c r="J19" s="83" t="str">
        <f t="shared" si="1"/>
        <v>----</v>
      </c>
    </row>
    <row r="20" spans="1:10">
      <c r="A20" s="273"/>
      <c r="B20" s="274"/>
      <c r="C20" s="605"/>
      <c r="D20" s="606"/>
      <c r="E20" s="504"/>
      <c r="F20" s="477" t="str">
        <f t="shared" si="2"/>
        <v>----</v>
      </c>
      <c r="G20" s="504"/>
      <c r="H20" s="477" t="str">
        <f t="shared" si="0"/>
        <v>----</v>
      </c>
      <c r="I20" s="502"/>
      <c r="J20" s="83" t="str">
        <f t="shared" si="1"/>
        <v>----</v>
      </c>
    </row>
    <row r="21" spans="1:10">
      <c r="A21" s="123"/>
      <c r="B21" s="124"/>
      <c r="C21" s="667"/>
      <c r="D21" s="666"/>
      <c r="E21" s="469"/>
      <c r="F21" s="477" t="str">
        <f t="shared" si="2"/>
        <v>----</v>
      </c>
      <c r="G21" s="469"/>
      <c r="H21" s="477" t="str">
        <f t="shared" si="0"/>
        <v>----</v>
      </c>
      <c r="I21" s="503"/>
      <c r="J21" s="83" t="str">
        <f t="shared" si="1"/>
        <v>----</v>
      </c>
    </row>
    <row r="22" spans="1:10" ht="15.75" thickBot="1">
      <c r="A22" s="74"/>
      <c r="B22" s="75"/>
      <c r="C22" s="376"/>
      <c r="D22" s="536"/>
      <c r="E22" s="480"/>
      <c r="F22" s="481" t="str">
        <f t="shared" si="2"/>
        <v>----</v>
      </c>
      <c r="G22" s="480"/>
      <c r="H22" s="481" t="str">
        <f t="shared" si="0"/>
        <v>----</v>
      </c>
      <c r="I22" s="486"/>
      <c r="J22" s="77" t="str">
        <f t="shared" si="1"/>
        <v>----</v>
      </c>
    </row>
    <row r="23" spans="1:10" ht="15.75" thickBot="1">
      <c r="A23" s="27"/>
      <c r="B23" s="27"/>
      <c r="C23" s="28"/>
      <c r="D23" s="28"/>
      <c r="E23" s="444"/>
      <c r="F23" s="446">
        <f>SUM(F4:F22)</f>
        <v>5944.9200000000419</v>
      </c>
      <c r="G23" s="444"/>
      <c r="H23" s="446">
        <f>SUM(H4:H22)</f>
        <v>37610.315000000017</v>
      </c>
      <c r="I23" s="28"/>
      <c r="J23" s="69">
        <f>SUM(J4:J22)</f>
        <v>0</v>
      </c>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7"/>
  </cols>
  <sheetData>
    <row r="1" spans="1:11" ht="15.75" thickBot="1">
      <c r="A1" s="932" t="s">
        <v>283</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69" thickBot="1">
      <c r="A3" s="940"/>
      <c r="B3" s="942"/>
      <c r="C3" s="942"/>
      <c r="D3" s="954"/>
      <c r="E3" s="465" t="s">
        <v>121</v>
      </c>
      <c r="F3" s="473" t="s">
        <v>113</v>
      </c>
      <c r="G3" s="465" t="s">
        <v>121</v>
      </c>
      <c r="H3" s="473" t="s">
        <v>113</v>
      </c>
      <c r="I3" s="483" t="s">
        <v>121</v>
      </c>
      <c r="J3" s="25" t="s">
        <v>113</v>
      </c>
    </row>
    <row r="4" spans="1:11">
      <c r="A4" s="70">
        <v>45433</v>
      </c>
      <c r="B4" s="71" t="s">
        <v>751</v>
      </c>
      <c r="C4" s="122">
        <f>696240.42/2</f>
        <v>348120.21</v>
      </c>
      <c r="D4" s="498">
        <f>C4</f>
        <v>348120.21</v>
      </c>
      <c r="E4" s="474"/>
      <c r="F4" s="475" t="str">
        <f>IF(ISBLANK(E4),"----",E4-D4)</f>
        <v>----</v>
      </c>
      <c r="G4" s="474"/>
      <c r="H4" s="475" t="str">
        <f>IF(OR(G4="Complete",ISBLANK(G4)),"----",G4-$D4)</f>
        <v>----</v>
      </c>
      <c r="I4" s="484"/>
      <c r="J4" s="73" t="str">
        <f>IF(OR(I4="Complete",ISBLANK(I4)),"----",I4-$D4)</f>
        <v>----</v>
      </c>
      <c r="K4" t="s">
        <v>774</v>
      </c>
    </row>
    <row r="5" spans="1:11">
      <c r="A5" s="88"/>
      <c r="B5" s="101"/>
      <c r="C5" s="82"/>
      <c r="D5" s="436"/>
      <c r="E5" s="476"/>
      <c r="F5" s="477" t="str">
        <f>IF(ISBLANK(E5),"----",E5-D5)</f>
        <v>----</v>
      </c>
      <c r="G5" s="476"/>
      <c r="H5" s="477" t="str">
        <f>IF(OR(G5="Complete",ISBLANK(G5)),"----",G5-$D5)</f>
        <v>----</v>
      </c>
      <c r="I5" s="489"/>
      <c r="J5" s="83" t="str">
        <f>IF(OR(I5="Complete",ISBLANK(I5)),"----",I5-$D5)</f>
        <v>----</v>
      </c>
    </row>
    <row r="6" spans="1:11">
      <c r="A6" s="91"/>
      <c r="B6" s="92"/>
      <c r="C6" s="84"/>
      <c r="D6" s="482"/>
      <c r="E6" s="487"/>
      <c r="F6" s="488" t="str">
        <f>IF(ISBLANK(E6),"----",E6-D6)</f>
        <v>----</v>
      </c>
      <c r="G6" s="487"/>
      <c r="H6" s="488" t="str">
        <f>IF(OR(G6="Complete",ISBLANK(G6)),"----",G6-$D6)</f>
        <v>----</v>
      </c>
      <c r="I6" s="485"/>
      <c r="J6" s="85" t="str">
        <f>IF(OR(I6="Complete",ISBLANK(I6)),"----",I6-$D6)</f>
        <v>----</v>
      </c>
    </row>
    <row r="7" spans="1:11" ht="15.75" thickBot="1">
      <c r="A7" s="74"/>
      <c r="B7" s="75"/>
      <c r="C7" s="76"/>
      <c r="D7" s="435"/>
      <c r="E7" s="480"/>
      <c r="F7" s="481" t="str">
        <f>IF(ISBLANK(E7),"----",E7-D7)</f>
        <v>----</v>
      </c>
      <c r="G7" s="480"/>
      <c r="H7" s="481" t="str">
        <f>IF(OR(G7="Complete",ISBLANK(G7)),"----",G7-$D7)</f>
        <v>----</v>
      </c>
      <c r="I7" s="486"/>
      <c r="J7" s="77" t="str">
        <f>IF(OR(I7="Complete",ISBLANK(I7)),"----",I7-$D7)</f>
        <v>----</v>
      </c>
    </row>
    <row r="8" spans="1:11" ht="15.75" thickBot="1">
      <c r="A8" s="27"/>
      <c r="B8" s="27"/>
      <c r="C8" s="28"/>
      <c r="D8" s="28"/>
      <c r="E8" s="444"/>
      <c r="F8" s="446">
        <f>SUM(F4:F7)</f>
        <v>0</v>
      </c>
      <c r="G8" s="444"/>
      <c r="H8" s="446">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L13" sqref="L13"/>
    </sheetView>
  </sheetViews>
  <sheetFormatPr defaultRowHeight="15"/>
  <cols>
    <col min="2" max="2" width="21.42578125" bestFit="1" customWidth="1"/>
    <col min="3" max="4" width="10.7109375" bestFit="1" customWidth="1"/>
    <col min="5" max="5" width="10.7109375" style="437" bestFit="1" customWidth="1"/>
    <col min="6" max="6" width="9.85546875" style="437" bestFit="1" customWidth="1"/>
    <col min="7" max="7" width="10.7109375" style="437" bestFit="1" customWidth="1"/>
    <col min="8" max="8" width="9.85546875" style="437" bestFit="1" customWidth="1"/>
    <col min="9" max="9" width="10.7109375" bestFit="1" customWidth="1"/>
    <col min="10" max="10" width="9.85546875" bestFit="1" customWidth="1"/>
  </cols>
  <sheetData>
    <row r="1" spans="1:10" ht="15.75" thickBot="1">
      <c r="A1" s="932" t="s">
        <v>284</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57.75" thickBot="1">
      <c r="A3" s="940"/>
      <c r="B3" s="942"/>
      <c r="C3" s="942"/>
      <c r="D3" s="954"/>
      <c r="E3" s="465" t="s">
        <v>121</v>
      </c>
      <c r="F3" s="473" t="s">
        <v>113</v>
      </c>
      <c r="G3" s="465" t="s">
        <v>121</v>
      </c>
      <c r="H3" s="473" t="s">
        <v>113</v>
      </c>
      <c r="I3" s="483" t="s">
        <v>121</v>
      </c>
      <c r="J3" s="25" t="s">
        <v>113</v>
      </c>
    </row>
    <row r="4" spans="1:10">
      <c r="A4" s="70">
        <v>44033</v>
      </c>
      <c r="B4" s="71" t="s">
        <v>299</v>
      </c>
      <c r="C4" s="72">
        <v>480134.27</v>
      </c>
      <c r="D4" s="434">
        <f>C4</f>
        <v>480134.27</v>
      </c>
      <c r="E4" s="474">
        <v>492254.22</v>
      </c>
      <c r="F4" s="475">
        <f t="shared" ref="F4:F24" si="0">IF(ISBLANK(E4),"----",E4-D4)</f>
        <v>12119.949999999953</v>
      </c>
      <c r="G4" s="474" t="s">
        <v>704</v>
      </c>
      <c r="H4" s="475" t="str">
        <f t="shared" ref="H4:H24" si="1">IF(OR(G4="Complete",ISBLANK(G4)),"----",G4-$D4)</f>
        <v>----</v>
      </c>
      <c r="I4" s="484" t="s">
        <v>704</v>
      </c>
      <c r="J4" s="73" t="str">
        <f t="shared" ref="J4:J24" si="2">IF(OR(I4="Complete",ISBLANK(I4)),"----",I4-$D4)</f>
        <v>----</v>
      </c>
    </row>
    <row r="5" spans="1:10">
      <c r="A5" s="88">
        <v>44362</v>
      </c>
      <c r="B5" s="101" t="s">
        <v>433</v>
      </c>
      <c r="C5" s="82">
        <v>278138.5</v>
      </c>
      <c r="D5" s="436">
        <f>C5</f>
        <v>278138.5</v>
      </c>
      <c r="E5" s="476">
        <v>295152.18</v>
      </c>
      <c r="F5" s="477">
        <f t="shared" si="0"/>
        <v>17013.679999999993</v>
      </c>
      <c r="G5" s="476" t="s">
        <v>704</v>
      </c>
      <c r="H5" s="477" t="str">
        <f t="shared" si="1"/>
        <v>----</v>
      </c>
      <c r="I5" s="489" t="s">
        <v>704</v>
      </c>
      <c r="J5" s="83" t="str">
        <f t="shared" si="2"/>
        <v>----</v>
      </c>
    </row>
    <row r="6" spans="1:10">
      <c r="A6" s="102"/>
      <c r="B6" s="103"/>
      <c r="C6" s="87"/>
      <c r="D6" s="471"/>
      <c r="E6" s="478"/>
      <c r="F6" s="490" t="str">
        <f t="shared" si="0"/>
        <v>----</v>
      </c>
      <c r="G6" s="478"/>
      <c r="H6" s="490" t="str">
        <f t="shared" si="1"/>
        <v>----</v>
      </c>
      <c r="I6" s="491"/>
      <c r="J6" s="115" t="str">
        <f t="shared" si="2"/>
        <v>----</v>
      </c>
    </row>
    <row r="7" spans="1:10">
      <c r="A7" s="102"/>
      <c r="B7" s="103"/>
      <c r="C7" s="87"/>
      <c r="D7" s="471"/>
      <c r="E7" s="478"/>
      <c r="F7" s="490" t="str">
        <f t="shared" si="0"/>
        <v>----</v>
      </c>
      <c r="G7" s="478"/>
      <c r="H7" s="490" t="str">
        <f t="shared" si="1"/>
        <v>----</v>
      </c>
      <c r="I7" s="491"/>
      <c r="J7" s="115" t="str">
        <f t="shared" si="2"/>
        <v>----</v>
      </c>
    </row>
    <row r="8" spans="1:10">
      <c r="A8" s="102"/>
      <c r="B8" s="103"/>
      <c r="C8" s="87"/>
      <c r="D8" s="471"/>
      <c r="E8" s="478"/>
      <c r="F8" s="490" t="str">
        <f t="shared" si="0"/>
        <v>----</v>
      </c>
      <c r="G8" s="478"/>
      <c r="H8" s="490" t="str">
        <f t="shared" si="1"/>
        <v>----</v>
      </c>
      <c r="I8" s="491"/>
      <c r="J8" s="115" t="str">
        <f t="shared" si="2"/>
        <v>----</v>
      </c>
    </row>
    <row r="9" spans="1:10">
      <c r="A9" s="102"/>
      <c r="B9" s="103"/>
      <c r="C9" s="87"/>
      <c r="D9" s="471"/>
      <c r="E9" s="478"/>
      <c r="F9" s="490" t="str">
        <f t="shared" si="0"/>
        <v>----</v>
      </c>
      <c r="G9" s="478"/>
      <c r="H9" s="490" t="str">
        <f t="shared" si="1"/>
        <v>----</v>
      </c>
      <c r="I9" s="491"/>
      <c r="J9" s="115" t="str">
        <f t="shared" si="2"/>
        <v>----</v>
      </c>
    </row>
    <row r="10" spans="1:10">
      <c r="A10" s="102"/>
      <c r="B10" s="103"/>
      <c r="C10" s="87"/>
      <c r="D10" s="471"/>
      <c r="E10" s="478"/>
      <c r="F10" s="490" t="str">
        <f t="shared" si="0"/>
        <v>----</v>
      </c>
      <c r="G10" s="478"/>
      <c r="H10" s="490" t="str">
        <f t="shared" si="1"/>
        <v>----</v>
      </c>
      <c r="I10" s="491"/>
      <c r="J10" s="115" t="str">
        <f t="shared" si="2"/>
        <v>----</v>
      </c>
    </row>
    <row r="11" spans="1:10">
      <c r="A11" s="102"/>
      <c r="B11" s="103"/>
      <c r="C11" s="87"/>
      <c r="D11" s="471"/>
      <c r="E11" s="478"/>
      <c r="F11" s="490" t="str">
        <f t="shared" si="0"/>
        <v>----</v>
      </c>
      <c r="G11" s="478"/>
      <c r="H11" s="490" t="str">
        <f t="shared" si="1"/>
        <v>----</v>
      </c>
      <c r="I11" s="491"/>
      <c r="J11" s="115" t="str">
        <f t="shared" si="2"/>
        <v>----</v>
      </c>
    </row>
    <row r="12" spans="1:10">
      <c r="A12" s="102"/>
      <c r="B12" s="103"/>
      <c r="C12" s="87"/>
      <c r="D12" s="471"/>
      <c r="E12" s="478"/>
      <c r="F12" s="490" t="str">
        <f t="shared" si="0"/>
        <v>----</v>
      </c>
      <c r="G12" s="478"/>
      <c r="H12" s="490" t="str">
        <f t="shared" si="1"/>
        <v>----</v>
      </c>
      <c r="I12" s="491"/>
      <c r="J12" s="115" t="str">
        <f t="shared" si="2"/>
        <v>----</v>
      </c>
    </row>
    <row r="13" spans="1:10">
      <c r="A13" s="102"/>
      <c r="B13" s="103"/>
      <c r="C13" s="87"/>
      <c r="D13" s="471"/>
      <c r="E13" s="478"/>
      <c r="F13" s="490" t="str">
        <f t="shared" si="0"/>
        <v>----</v>
      </c>
      <c r="G13" s="478"/>
      <c r="H13" s="490" t="str">
        <f t="shared" si="1"/>
        <v>----</v>
      </c>
      <c r="I13" s="491"/>
      <c r="J13" s="115" t="str">
        <f t="shared" si="2"/>
        <v>----</v>
      </c>
    </row>
    <row r="14" spans="1:10">
      <c r="A14" s="102"/>
      <c r="B14" s="103"/>
      <c r="C14" s="87"/>
      <c r="D14" s="471"/>
      <c r="E14" s="478"/>
      <c r="F14" s="490" t="str">
        <f t="shared" si="0"/>
        <v>----</v>
      </c>
      <c r="G14" s="478"/>
      <c r="H14" s="490" t="str">
        <f t="shared" si="1"/>
        <v>----</v>
      </c>
      <c r="I14" s="491"/>
      <c r="J14" s="115" t="str">
        <f t="shared" si="2"/>
        <v>----</v>
      </c>
    </row>
    <row r="15" spans="1:10">
      <c r="A15" s="102"/>
      <c r="B15" s="103"/>
      <c r="C15" s="87"/>
      <c r="D15" s="471"/>
      <c r="E15" s="478"/>
      <c r="F15" s="490" t="str">
        <f t="shared" si="0"/>
        <v>----</v>
      </c>
      <c r="G15" s="478"/>
      <c r="H15" s="490" t="str">
        <f t="shared" si="1"/>
        <v>----</v>
      </c>
      <c r="I15" s="491"/>
      <c r="J15" s="115" t="str">
        <f t="shared" si="2"/>
        <v>----</v>
      </c>
    </row>
    <row r="16" spans="1:10">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02"/>
      <c r="B18" s="103"/>
      <c r="C18" s="87"/>
      <c r="D18" s="471"/>
      <c r="E18" s="478"/>
      <c r="F18" s="490" t="str">
        <f t="shared" si="0"/>
        <v>----</v>
      </c>
      <c r="G18" s="478"/>
      <c r="H18" s="490" t="str">
        <f t="shared" si="1"/>
        <v>----</v>
      </c>
      <c r="I18" s="491"/>
      <c r="J18" s="115" t="str">
        <f t="shared" si="2"/>
        <v>----</v>
      </c>
    </row>
    <row r="19" spans="1:10">
      <c r="A19" s="102"/>
      <c r="B19" s="103"/>
      <c r="C19" s="87"/>
      <c r="D19" s="471"/>
      <c r="E19" s="478"/>
      <c r="F19" s="490" t="str">
        <f t="shared" si="0"/>
        <v>----</v>
      </c>
      <c r="G19" s="478"/>
      <c r="H19" s="490" t="str">
        <f t="shared" si="1"/>
        <v>----</v>
      </c>
      <c r="I19" s="491"/>
      <c r="J19" s="115" t="str">
        <f t="shared" si="2"/>
        <v>----</v>
      </c>
    </row>
    <row r="20" spans="1:10">
      <c r="A20" s="102"/>
      <c r="B20" s="103"/>
      <c r="C20" s="87"/>
      <c r="D20" s="471"/>
      <c r="E20" s="478"/>
      <c r="F20" s="490" t="str">
        <f t="shared" si="0"/>
        <v>----</v>
      </c>
      <c r="G20" s="478"/>
      <c r="H20" s="490" t="str">
        <f t="shared" si="1"/>
        <v>----</v>
      </c>
      <c r="I20" s="491"/>
      <c r="J20" s="115" t="str">
        <f t="shared" si="2"/>
        <v>----</v>
      </c>
    </row>
    <row r="21" spans="1:10">
      <c r="A21" s="102"/>
      <c r="B21" s="103"/>
      <c r="C21" s="87"/>
      <c r="D21" s="471"/>
      <c r="E21" s="478"/>
      <c r="F21" s="490" t="str">
        <f t="shared" si="0"/>
        <v>----</v>
      </c>
      <c r="G21" s="478"/>
      <c r="H21" s="490" t="str">
        <f t="shared" si="1"/>
        <v>----</v>
      </c>
      <c r="I21" s="491"/>
      <c r="J21" s="115" t="str">
        <f t="shared" si="2"/>
        <v>----</v>
      </c>
    </row>
    <row r="22" spans="1:10">
      <c r="A22" s="102"/>
      <c r="B22" s="103"/>
      <c r="C22" s="87"/>
      <c r="D22" s="471"/>
      <c r="E22" s="478"/>
      <c r="F22" s="490" t="str">
        <f t="shared" si="0"/>
        <v>----</v>
      </c>
      <c r="G22" s="478"/>
      <c r="H22" s="490" t="str">
        <f t="shared" si="1"/>
        <v>----</v>
      </c>
      <c r="I22" s="491"/>
      <c r="J22" s="115" t="str">
        <f t="shared" si="2"/>
        <v>----</v>
      </c>
    </row>
    <row r="23" spans="1:10">
      <c r="A23" s="116"/>
      <c r="B23" s="117"/>
      <c r="C23" s="118"/>
      <c r="D23" s="472"/>
      <c r="E23" s="479"/>
      <c r="F23" s="492" t="str">
        <f t="shared" si="0"/>
        <v>----</v>
      </c>
      <c r="G23" s="479"/>
      <c r="H23" s="492" t="str">
        <f t="shared" si="1"/>
        <v>----</v>
      </c>
      <c r="I23" s="493"/>
      <c r="J23" s="119" t="str">
        <f t="shared" si="2"/>
        <v>----</v>
      </c>
    </row>
    <row r="24" spans="1:10" ht="15.75" thickBot="1">
      <c r="A24" s="74"/>
      <c r="B24" s="75"/>
      <c r="C24" s="76"/>
      <c r="D24" s="435"/>
      <c r="E24" s="480"/>
      <c r="F24" s="481" t="str">
        <f t="shared" si="0"/>
        <v>----</v>
      </c>
      <c r="G24" s="480"/>
      <c r="H24" s="481" t="str">
        <f t="shared" si="1"/>
        <v>----</v>
      </c>
      <c r="I24" s="486"/>
      <c r="J24" s="77" t="str">
        <f t="shared" si="2"/>
        <v>----</v>
      </c>
    </row>
    <row r="25" spans="1:10" ht="15.75" thickBot="1">
      <c r="A25" s="27"/>
      <c r="B25" s="27"/>
      <c r="C25" s="28"/>
      <c r="D25" s="28"/>
      <c r="E25" s="444"/>
      <c r="F25" s="446">
        <f>SUM(F4:F24)</f>
        <v>29133.629999999946</v>
      </c>
      <c r="G25" s="444"/>
      <c r="H25" s="446">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K24"/>
  <sheetViews>
    <sheetView workbookViewId="0">
      <selection activeCell="I7" sqref="I7"/>
    </sheetView>
  </sheetViews>
  <sheetFormatPr defaultRowHeight="15"/>
  <cols>
    <col min="2" max="2" width="21.28515625" bestFit="1" customWidth="1"/>
    <col min="3" max="3" width="12" bestFit="1" customWidth="1"/>
    <col min="4" max="4" width="11.42578125" customWidth="1"/>
    <col min="5" max="5" width="9.140625" style="437"/>
    <col min="6" max="6" width="12.28515625" style="437" customWidth="1"/>
    <col min="7" max="7" width="10.7109375" style="437" bestFit="1" customWidth="1"/>
    <col min="8" max="8" width="12.28515625" style="437" customWidth="1"/>
    <col min="9" max="9" width="10.7109375" bestFit="1" customWidth="1"/>
    <col min="10" max="10" width="12.28515625" customWidth="1"/>
  </cols>
  <sheetData>
    <row r="1" spans="1:11" ht="15.75" thickBot="1">
      <c r="A1" s="932" t="s">
        <v>157</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43816</v>
      </c>
      <c r="B4" s="71" t="s">
        <v>164</v>
      </c>
      <c r="C4" s="72">
        <v>669021.30000000005</v>
      </c>
      <c r="D4" s="434">
        <f>C4</f>
        <v>669021.30000000005</v>
      </c>
      <c r="E4" s="474"/>
      <c r="F4" s="475" t="str">
        <f t="shared" ref="F4:F23" si="0">IF(ISBLANK(E4),"----",E4-D4)</f>
        <v>----</v>
      </c>
      <c r="G4" s="474">
        <v>671095.9</v>
      </c>
      <c r="H4" s="475">
        <f t="shared" ref="H4:H23" si="1">IF(OR(G4="Complete",ISBLANK(G4)),"----",G4-$D4)</f>
        <v>2074.5999999999767</v>
      </c>
      <c r="I4" s="484" t="s">
        <v>704</v>
      </c>
      <c r="J4" s="73" t="str">
        <f t="shared" ref="J4:J23" si="2">IF(OR(I4="Complete",ISBLANK(I4)),"----",I4-$D4)</f>
        <v>----</v>
      </c>
    </row>
    <row r="5" spans="1:11">
      <c r="A5" s="88">
        <v>44089</v>
      </c>
      <c r="B5" s="101" t="s">
        <v>307</v>
      </c>
      <c r="C5" s="82">
        <v>240766.5</v>
      </c>
      <c r="D5" s="436">
        <f>C5</f>
        <v>240766.5</v>
      </c>
      <c r="E5" s="476"/>
      <c r="F5" s="477" t="str">
        <f t="shared" si="0"/>
        <v>----</v>
      </c>
      <c r="G5" s="476">
        <v>245490.68</v>
      </c>
      <c r="H5" s="477">
        <f t="shared" si="1"/>
        <v>4724.179999999993</v>
      </c>
      <c r="I5" s="489" t="s">
        <v>704</v>
      </c>
      <c r="J5" s="83" t="str">
        <f t="shared" si="2"/>
        <v>----</v>
      </c>
    </row>
    <row r="6" spans="1:11">
      <c r="A6" s="102">
        <v>44124</v>
      </c>
      <c r="B6" s="103" t="s">
        <v>320</v>
      </c>
      <c r="C6" s="87">
        <v>1082462.76</v>
      </c>
      <c r="D6" s="471">
        <v>590882.76</v>
      </c>
      <c r="E6" s="478"/>
      <c r="F6" s="477" t="str">
        <f t="shared" si="0"/>
        <v>----</v>
      </c>
      <c r="G6" s="478">
        <v>559595.43000000005</v>
      </c>
      <c r="H6" s="477">
        <f t="shared" si="1"/>
        <v>-31287.329999999958</v>
      </c>
      <c r="I6" s="491" t="s">
        <v>704</v>
      </c>
      <c r="J6" s="83" t="str">
        <f t="shared" si="2"/>
        <v>----</v>
      </c>
    </row>
    <row r="7" spans="1:11">
      <c r="A7" s="102">
        <v>44915</v>
      </c>
      <c r="B7" s="103" t="s">
        <v>617</v>
      </c>
      <c r="C7" s="87">
        <v>586832.5</v>
      </c>
      <c r="D7" s="471">
        <f>C7</f>
        <v>586832.5</v>
      </c>
      <c r="E7" s="478"/>
      <c r="F7" s="477" t="str">
        <f t="shared" si="0"/>
        <v>----</v>
      </c>
      <c r="G7" s="478"/>
      <c r="H7" s="477" t="str">
        <f t="shared" si="1"/>
        <v>----</v>
      </c>
      <c r="I7" s="491"/>
      <c r="J7" s="83" t="str">
        <f t="shared" si="2"/>
        <v>----</v>
      </c>
    </row>
    <row r="8" spans="1:11">
      <c r="A8" s="224">
        <v>45308</v>
      </c>
      <c r="B8" s="225" t="s">
        <v>722</v>
      </c>
      <c r="C8" s="226"/>
      <c r="D8" s="568"/>
      <c r="E8" s="570"/>
      <c r="F8" s="571" t="str">
        <f t="shared" si="0"/>
        <v>----</v>
      </c>
      <c r="G8" s="570"/>
      <c r="H8" s="571" t="str">
        <f t="shared" si="1"/>
        <v>----</v>
      </c>
      <c r="I8" s="569"/>
      <c r="J8" s="227" t="str">
        <f t="shared" si="2"/>
        <v>----</v>
      </c>
      <c r="K8" t="s">
        <v>724</v>
      </c>
    </row>
    <row r="9" spans="1:11">
      <c r="A9" s="102"/>
      <c r="B9" s="103"/>
      <c r="C9" s="87"/>
      <c r="D9" s="471"/>
      <c r="E9" s="478"/>
      <c r="F9" s="477" t="str">
        <f t="shared" si="0"/>
        <v>----</v>
      </c>
      <c r="G9" s="478"/>
      <c r="H9" s="477" t="str">
        <f t="shared" si="1"/>
        <v>----</v>
      </c>
      <c r="I9" s="491"/>
      <c r="J9" s="83" t="str">
        <f t="shared" si="2"/>
        <v>----</v>
      </c>
    </row>
    <row r="10" spans="1:11">
      <c r="A10" s="102"/>
      <c r="B10" s="103"/>
      <c r="C10" s="87"/>
      <c r="D10" s="471"/>
      <c r="E10" s="478"/>
      <c r="F10" s="477" t="str">
        <f t="shared" si="0"/>
        <v>----</v>
      </c>
      <c r="G10" s="478"/>
      <c r="H10" s="477" t="str">
        <f t="shared" si="1"/>
        <v>----</v>
      </c>
      <c r="I10" s="491"/>
      <c r="J10" s="83" t="str">
        <f t="shared" si="2"/>
        <v>----</v>
      </c>
    </row>
    <row r="11" spans="1:11">
      <c r="A11" s="102"/>
      <c r="B11" s="103"/>
      <c r="C11" s="87"/>
      <c r="D11" s="471"/>
      <c r="E11" s="478"/>
      <c r="F11" s="477" t="str">
        <f t="shared" si="0"/>
        <v>----</v>
      </c>
      <c r="G11" s="478"/>
      <c r="H11" s="477" t="str">
        <f t="shared" si="1"/>
        <v>----</v>
      </c>
      <c r="I11" s="491"/>
      <c r="J11" s="83" t="str">
        <f t="shared" si="2"/>
        <v>----</v>
      </c>
    </row>
    <row r="12" spans="1:11">
      <c r="A12" s="102"/>
      <c r="B12" s="103"/>
      <c r="C12" s="87"/>
      <c r="D12" s="471"/>
      <c r="E12" s="478"/>
      <c r="F12" s="477" t="str">
        <f t="shared" si="0"/>
        <v>----</v>
      </c>
      <c r="G12" s="478"/>
      <c r="H12" s="477" t="str">
        <f t="shared" si="1"/>
        <v>----</v>
      </c>
      <c r="I12" s="491"/>
      <c r="J12" s="83" t="str">
        <f t="shared" si="2"/>
        <v>----</v>
      </c>
    </row>
    <row r="13" spans="1:11">
      <c r="A13" s="102"/>
      <c r="B13" s="103"/>
      <c r="C13" s="87"/>
      <c r="D13" s="471"/>
      <c r="E13" s="478"/>
      <c r="F13" s="477" t="str">
        <f t="shared" si="0"/>
        <v>----</v>
      </c>
      <c r="G13" s="478"/>
      <c r="H13" s="477" t="str">
        <f t="shared" si="1"/>
        <v>----</v>
      </c>
      <c r="I13" s="491"/>
      <c r="J13" s="83" t="str">
        <f t="shared" si="2"/>
        <v>----</v>
      </c>
    </row>
    <row r="14" spans="1:11">
      <c r="A14" s="102"/>
      <c r="B14" s="103"/>
      <c r="C14" s="87"/>
      <c r="D14" s="471"/>
      <c r="E14" s="478"/>
      <c r="F14" s="477" t="str">
        <f t="shared" si="0"/>
        <v>----</v>
      </c>
      <c r="G14" s="478"/>
      <c r="H14" s="477" t="str">
        <f t="shared" si="1"/>
        <v>----</v>
      </c>
      <c r="I14" s="491"/>
      <c r="J14" s="83" t="str">
        <f t="shared" si="2"/>
        <v>----</v>
      </c>
    </row>
    <row r="15" spans="1:11">
      <c r="A15" s="102"/>
      <c r="B15" s="103"/>
      <c r="C15" s="87"/>
      <c r="D15" s="471"/>
      <c r="E15" s="478"/>
      <c r="F15" s="477" t="str">
        <f t="shared" si="0"/>
        <v>----</v>
      </c>
      <c r="G15" s="478"/>
      <c r="H15" s="477" t="str">
        <f t="shared" si="1"/>
        <v>----</v>
      </c>
      <c r="I15" s="491"/>
      <c r="J15" s="83" t="str">
        <f t="shared" si="2"/>
        <v>----</v>
      </c>
    </row>
    <row r="16" spans="1:11">
      <c r="A16" s="102"/>
      <c r="B16" s="103"/>
      <c r="C16" s="87"/>
      <c r="D16" s="471"/>
      <c r="E16" s="478"/>
      <c r="F16" s="477" t="str">
        <f t="shared" si="0"/>
        <v>----</v>
      </c>
      <c r="G16" s="478"/>
      <c r="H16" s="477" t="str">
        <f t="shared" si="1"/>
        <v>----</v>
      </c>
      <c r="I16" s="491"/>
      <c r="J16" s="83" t="str">
        <f t="shared" si="2"/>
        <v>----</v>
      </c>
    </row>
    <row r="17" spans="1:10">
      <c r="A17" s="102"/>
      <c r="B17" s="103"/>
      <c r="C17" s="87"/>
      <c r="D17" s="471"/>
      <c r="E17" s="478"/>
      <c r="F17" s="477" t="str">
        <f t="shared" si="0"/>
        <v>----</v>
      </c>
      <c r="G17" s="478"/>
      <c r="H17" s="477" t="str">
        <f t="shared" si="1"/>
        <v>----</v>
      </c>
      <c r="I17" s="491"/>
      <c r="J17" s="83" t="str">
        <f t="shared" si="2"/>
        <v>----</v>
      </c>
    </row>
    <row r="18" spans="1:10">
      <c r="A18" s="102"/>
      <c r="B18" s="103"/>
      <c r="C18" s="87"/>
      <c r="D18" s="471"/>
      <c r="E18" s="478"/>
      <c r="F18" s="477" t="str">
        <f t="shared" si="0"/>
        <v>----</v>
      </c>
      <c r="G18" s="478"/>
      <c r="H18" s="477" t="str">
        <f t="shared" si="1"/>
        <v>----</v>
      </c>
      <c r="I18" s="491"/>
      <c r="J18" s="83" t="str">
        <f t="shared" si="2"/>
        <v>----</v>
      </c>
    </row>
    <row r="19" spans="1:10">
      <c r="A19" s="102"/>
      <c r="B19" s="103"/>
      <c r="C19" s="87"/>
      <c r="D19" s="471"/>
      <c r="E19" s="478"/>
      <c r="F19" s="477" t="str">
        <f t="shared" si="0"/>
        <v>----</v>
      </c>
      <c r="G19" s="478"/>
      <c r="H19" s="477" t="str">
        <f t="shared" si="1"/>
        <v>----</v>
      </c>
      <c r="I19" s="491"/>
      <c r="J19" s="83" t="str">
        <f t="shared" si="2"/>
        <v>----</v>
      </c>
    </row>
    <row r="20" spans="1:10">
      <c r="A20" s="102"/>
      <c r="B20" s="103"/>
      <c r="C20" s="87"/>
      <c r="D20" s="471"/>
      <c r="E20" s="478"/>
      <c r="F20" s="477" t="str">
        <f t="shared" si="0"/>
        <v>----</v>
      </c>
      <c r="G20" s="478"/>
      <c r="H20" s="477" t="str">
        <f t="shared" si="1"/>
        <v>----</v>
      </c>
      <c r="I20" s="491"/>
      <c r="J20" s="83" t="str">
        <f t="shared" si="2"/>
        <v>----</v>
      </c>
    </row>
    <row r="21" spans="1:10">
      <c r="A21" s="102"/>
      <c r="B21" s="103"/>
      <c r="C21" s="87"/>
      <c r="D21" s="471"/>
      <c r="E21" s="478"/>
      <c r="F21" s="477" t="str">
        <f t="shared" si="0"/>
        <v>----</v>
      </c>
      <c r="G21" s="478"/>
      <c r="H21" s="477" t="str">
        <f t="shared" si="1"/>
        <v>----</v>
      </c>
      <c r="I21" s="491"/>
      <c r="J21" s="83" t="str">
        <f t="shared" si="2"/>
        <v>----</v>
      </c>
    </row>
    <row r="22" spans="1:10">
      <c r="A22" s="116"/>
      <c r="B22" s="117"/>
      <c r="C22" s="118"/>
      <c r="D22" s="472"/>
      <c r="E22" s="479"/>
      <c r="F22" s="477" t="str">
        <f t="shared" si="0"/>
        <v>----</v>
      </c>
      <c r="G22" s="479"/>
      <c r="H22" s="477" t="str">
        <f t="shared" si="1"/>
        <v>----</v>
      </c>
      <c r="I22" s="493"/>
      <c r="J22" s="83" t="str">
        <f t="shared" si="2"/>
        <v>----</v>
      </c>
    </row>
    <row r="23" spans="1:10" ht="15.75" thickBot="1">
      <c r="A23" s="74"/>
      <c r="B23" s="75"/>
      <c r="C23" s="76"/>
      <c r="D23" s="435"/>
      <c r="E23" s="480"/>
      <c r="F23" s="481" t="str">
        <f t="shared" si="0"/>
        <v>----</v>
      </c>
      <c r="G23" s="480"/>
      <c r="H23" s="481" t="str">
        <f t="shared" si="1"/>
        <v>----</v>
      </c>
      <c r="I23" s="486"/>
      <c r="J23" s="77" t="str">
        <f t="shared" si="2"/>
        <v>----</v>
      </c>
    </row>
    <row r="24" spans="1:10" ht="15.75" thickBot="1">
      <c r="A24" s="27"/>
      <c r="B24" s="27"/>
      <c r="C24" s="28"/>
      <c r="D24" s="28"/>
      <c r="E24" s="444"/>
      <c r="F24" s="446">
        <f>SUM(F4:F23)</f>
        <v>0</v>
      </c>
      <c r="G24" s="444"/>
      <c r="H24" s="446">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E6" sqref="E6"/>
    </sheetView>
  </sheetViews>
  <sheetFormatPr defaultRowHeight="15"/>
  <cols>
    <col min="2" max="2" width="22.5703125" bestFit="1" customWidth="1"/>
    <col min="3" max="4" width="10.7109375" bestFit="1" customWidth="1"/>
    <col min="5" max="5" width="10.7109375" style="437" bestFit="1" customWidth="1"/>
    <col min="6" max="6" width="10.42578125" style="437" bestFit="1" customWidth="1"/>
    <col min="7" max="7" width="10.7109375" style="437" bestFit="1" customWidth="1"/>
    <col min="8" max="8" width="10.42578125" style="437" bestFit="1" customWidth="1"/>
    <col min="9" max="9" width="10.7109375" bestFit="1" customWidth="1"/>
    <col min="10" max="10" width="10.42578125" bestFit="1" customWidth="1"/>
    <col min="11" max="11" width="9.5703125" bestFit="1" customWidth="1"/>
  </cols>
  <sheetData>
    <row r="1" spans="1:11" ht="15.75" thickBot="1">
      <c r="A1" s="932" t="s">
        <v>285</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968">
        <v>44153</v>
      </c>
      <c r="B4" s="71" t="s">
        <v>340</v>
      </c>
      <c r="C4" s="72">
        <v>440518.26</v>
      </c>
      <c r="D4" s="434">
        <v>235693.26</v>
      </c>
      <c r="E4" s="474">
        <v>238153.92</v>
      </c>
      <c r="F4" s="475">
        <f t="shared" ref="F4:F18" si="0">IF(ISBLANK(E4),"----",E4-D4)</f>
        <v>2460.6600000000035</v>
      </c>
      <c r="G4" s="474" t="s">
        <v>704</v>
      </c>
      <c r="H4" s="475" t="str">
        <f t="shared" ref="H4:H18" si="1">IF(OR(G4="Complete",ISBLANK(G4)),"----",G4-$D4)</f>
        <v>----</v>
      </c>
      <c r="I4" s="484" t="s">
        <v>704</v>
      </c>
      <c r="J4" s="73" t="str">
        <f t="shared" ref="J4:J18" si="2">IF(OR(I4="Complete",ISBLANK(I4)),"----",I4-$D4)</f>
        <v>----</v>
      </c>
    </row>
    <row r="5" spans="1:11">
      <c r="A5" s="963"/>
      <c r="B5" s="101" t="s">
        <v>341</v>
      </c>
      <c r="C5" s="82">
        <v>433735.25</v>
      </c>
      <c r="D5" s="436">
        <v>338150.25</v>
      </c>
      <c r="E5" s="476">
        <f>403676.37-95585</f>
        <v>308091.37</v>
      </c>
      <c r="F5" s="477">
        <f t="shared" si="0"/>
        <v>-30058.880000000005</v>
      </c>
      <c r="G5" s="476" t="s">
        <v>704</v>
      </c>
      <c r="H5" s="477" t="str">
        <f t="shared" si="1"/>
        <v>----</v>
      </c>
      <c r="I5" s="489" t="s">
        <v>704</v>
      </c>
      <c r="J5" s="83" t="str">
        <f t="shared" si="2"/>
        <v>----</v>
      </c>
      <c r="K5" s="818"/>
    </row>
    <row r="6" spans="1:11">
      <c r="A6" s="88">
        <v>44216</v>
      </c>
      <c r="B6" s="101" t="s">
        <v>382</v>
      </c>
      <c r="C6" s="82">
        <v>538624.5</v>
      </c>
      <c r="D6" s="436">
        <f t="shared" ref="D6:D11" si="3">C6</f>
        <v>538624.5</v>
      </c>
      <c r="E6" s="476">
        <v>519115.73</v>
      </c>
      <c r="F6" s="477">
        <f t="shared" si="0"/>
        <v>-19508.770000000019</v>
      </c>
      <c r="G6" s="476" t="s">
        <v>704</v>
      </c>
      <c r="H6" s="477" t="str">
        <f t="shared" si="1"/>
        <v>----</v>
      </c>
      <c r="I6" s="489" t="s">
        <v>704</v>
      </c>
      <c r="J6" s="83" t="str">
        <f t="shared" si="2"/>
        <v>----</v>
      </c>
    </row>
    <row r="7" spans="1:11">
      <c r="A7" s="88">
        <v>44607</v>
      </c>
      <c r="B7" s="101" t="s">
        <v>508</v>
      </c>
      <c r="C7" s="82">
        <v>594810.69999999995</v>
      </c>
      <c r="D7" s="436">
        <f t="shared" si="3"/>
        <v>594810.69999999995</v>
      </c>
      <c r="E7" s="476">
        <v>584050.91</v>
      </c>
      <c r="F7" s="477">
        <f t="shared" si="0"/>
        <v>-10759.789999999921</v>
      </c>
      <c r="G7" s="476" t="s">
        <v>704</v>
      </c>
      <c r="H7" s="477" t="str">
        <f t="shared" si="1"/>
        <v>----</v>
      </c>
      <c r="I7" s="489" t="s">
        <v>704</v>
      </c>
      <c r="J7" s="83" t="str">
        <f t="shared" si="2"/>
        <v>----</v>
      </c>
    </row>
    <row r="8" spans="1:11">
      <c r="A8" s="88">
        <v>44824</v>
      </c>
      <c r="B8" s="101" t="s">
        <v>569</v>
      </c>
      <c r="C8" s="82">
        <v>441309.25</v>
      </c>
      <c r="D8" s="436">
        <f t="shared" si="3"/>
        <v>441309.25</v>
      </c>
      <c r="E8" s="476">
        <v>447088.78</v>
      </c>
      <c r="F8" s="477">
        <f t="shared" si="0"/>
        <v>5779.5300000000279</v>
      </c>
      <c r="G8" s="476" t="s">
        <v>704</v>
      </c>
      <c r="H8" s="477" t="str">
        <f t="shared" si="1"/>
        <v>----</v>
      </c>
      <c r="I8" s="489" t="s">
        <v>704</v>
      </c>
      <c r="J8" s="83" t="str">
        <f t="shared" si="2"/>
        <v>----</v>
      </c>
    </row>
    <row r="9" spans="1:11">
      <c r="A9" s="88">
        <v>44915</v>
      </c>
      <c r="B9" s="101" t="s">
        <v>618</v>
      </c>
      <c r="C9" s="82">
        <v>890768.8</v>
      </c>
      <c r="D9" s="436">
        <f t="shared" si="3"/>
        <v>890768.8</v>
      </c>
      <c r="E9" s="476"/>
      <c r="F9" s="477" t="str">
        <f t="shared" si="0"/>
        <v>----</v>
      </c>
      <c r="G9" s="476"/>
      <c r="H9" s="477" t="str">
        <f t="shared" si="1"/>
        <v>----</v>
      </c>
      <c r="I9" s="489"/>
      <c r="J9" s="83" t="str">
        <f t="shared" si="2"/>
        <v>----</v>
      </c>
    </row>
    <row r="10" spans="1:11">
      <c r="A10" s="412">
        <v>45251</v>
      </c>
      <c r="B10" s="413" t="s">
        <v>683</v>
      </c>
      <c r="C10" s="411">
        <v>594539.19999999995</v>
      </c>
      <c r="D10" s="436">
        <f t="shared" si="3"/>
        <v>594539.19999999995</v>
      </c>
      <c r="E10" s="476"/>
      <c r="F10" s="477" t="str">
        <f t="shared" si="0"/>
        <v>----</v>
      </c>
      <c r="G10" s="476"/>
      <c r="H10" s="477" t="str">
        <f t="shared" si="1"/>
        <v>----</v>
      </c>
      <c r="I10" s="489"/>
      <c r="J10" s="83" t="str">
        <f t="shared" si="2"/>
        <v>----</v>
      </c>
    </row>
    <row r="11" spans="1:11">
      <c r="A11" s="88">
        <v>45398</v>
      </c>
      <c r="B11" s="453" t="s">
        <v>743</v>
      </c>
      <c r="C11" s="462">
        <v>887120.75</v>
      </c>
      <c r="D11" s="512">
        <f t="shared" si="3"/>
        <v>887120.75</v>
      </c>
      <c r="E11" s="476"/>
      <c r="F11" s="477" t="str">
        <f t="shared" si="0"/>
        <v>----</v>
      </c>
      <c r="G11" s="476"/>
      <c r="H11" s="477" t="str">
        <f t="shared" si="1"/>
        <v>----</v>
      </c>
      <c r="I11" s="489"/>
      <c r="J11" s="83" t="str">
        <f t="shared" si="2"/>
        <v>----</v>
      </c>
    </row>
    <row r="12" spans="1:11">
      <c r="A12" s="88"/>
      <c r="B12" s="101"/>
      <c r="C12" s="82"/>
      <c r="D12" s="436"/>
      <c r="E12" s="476"/>
      <c r="F12" s="477" t="str">
        <f t="shared" si="0"/>
        <v>----</v>
      </c>
      <c r="G12" s="476"/>
      <c r="H12" s="477" t="str">
        <f t="shared" si="1"/>
        <v>----</v>
      </c>
      <c r="I12" s="489"/>
      <c r="J12" s="83" t="str">
        <f t="shared" si="2"/>
        <v>----</v>
      </c>
    </row>
    <row r="13" spans="1:11">
      <c r="A13" s="88"/>
      <c r="B13" s="101"/>
      <c r="C13" s="82"/>
      <c r="D13" s="436"/>
      <c r="E13" s="476"/>
      <c r="F13" s="477" t="str">
        <f t="shared" si="0"/>
        <v>----</v>
      </c>
      <c r="G13" s="476"/>
      <c r="H13" s="477" t="str">
        <f t="shared" si="1"/>
        <v>----</v>
      </c>
      <c r="I13" s="489"/>
      <c r="J13" s="83" t="str">
        <f t="shared" si="2"/>
        <v>----</v>
      </c>
    </row>
    <row r="14" spans="1:11">
      <c r="A14" s="88"/>
      <c r="B14" s="101"/>
      <c r="C14" s="82"/>
      <c r="D14" s="436"/>
      <c r="E14" s="476"/>
      <c r="F14" s="477" t="str">
        <f t="shared" si="0"/>
        <v>----</v>
      </c>
      <c r="G14" s="476"/>
      <c r="H14" s="477" t="str">
        <f t="shared" si="1"/>
        <v>----</v>
      </c>
      <c r="I14" s="489"/>
      <c r="J14" s="83" t="str">
        <f t="shared" si="2"/>
        <v>----</v>
      </c>
    </row>
    <row r="15" spans="1:11">
      <c r="A15" s="88"/>
      <c r="B15" s="101"/>
      <c r="C15" s="82"/>
      <c r="D15" s="436"/>
      <c r="E15" s="476"/>
      <c r="F15" s="477" t="str">
        <f t="shared" si="0"/>
        <v>----</v>
      </c>
      <c r="G15" s="476"/>
      <c r="H15" s="477" t="str">
        <f t="shared" si="1"/>
        <v>----</v>
      </c>
      <c r="I15" s="489"/>
      <c r="J15" s="83" t="str">
        <f t="shared" si="2"/>
        <v>----</v>
      </c>
    </row>
    <row r="16" spans="1:11">
      <c r="A16" s="88"/>
      <c r="B16" s="101"/>
      <c r="C16" s="82"/>
      <c r="D16" s="436"/>
      <c r="E16" s="476"/>
      <c r="F16" s="477" t="str">
        <f t="shared" si="0"/>
        <v>----</v>
      </c>
      <c r="G16" s="476"/>
      <c r="H16" s="477" t="str">
        <f t="shared" si="1"/>
        <v>----</v>
      </c>
      <c r="I16" s="489"/>
      <c r="J16" s="83" t="str">
        <f t="shared" si="2"/>
        <v>----</v>
      </c>
    </row>
    <row r="17" spans="1:10">
      <c r="A17" s="88"/>
      <c r="B17" s="101"/>
      <c r="C17" s="82"/>
      <c r="D17" s="436"/>
      <c r="E17" s="476"/>
      <c r="F17" s="477" t="str">
        <f t="shared" si="0"/>
        <v>----</v>
      </c>
      <c r="G17" s="476"/>
      <c r="H17" s="477" t="str">
        <f t="shared" si="1"/>
        <v>----</v>
      </c>
      <c r="I17" s="489"/>
      <c r="J17" s="83" t="str">
        <f t="shared" si="2"/>
        <v>----</v>
      </c>
    </row>
    <row r="18" spans="1:10" ht="15.75" thickBot="1">
      <c r="A18" s="74"/>
      <c r="B18" s="75"/>
      <c r="C18" s="76"/>
      <c r="D18" s="435"/>
      <c r="E18" s="480"/>
      <c r="F18" s="481" t="str">
        <f t="shared" si="0"/>
        <v>----</v>
      </c>
      <c r="G18" s="480"/>
      <c r="H18" s="481" t="str">
        <f t="shared" si="1"/>
        <v>----</v>
      </c>
      <c r="I18" s="486"/>
      <c r="J18" s="77" t="str">
        <f t="shared" si="2"/>
        <v>----</v>
      </c>
    </row>
    <row r="19" spans="1:10" ht="15.75" thickBot="1">
      <c r="A19" s="27"/>
      <c r="B19" s="27"/>
      <c r="C19" s="28"/>
      <c r="D19" s="28"/>
      <c r="E19" s="444"/>
      <c r="F19" s="446">
        <f>SUM(F4:F18)</f>
        <v>-52087.249999999913</v>
      </c>
      <c r="G19" s="444"/>
      <c r="H19" s="446">
        <f>SUM(H4:H18)</f>
        <v>0</v>
      </c>
      <c r="I19" s="28"/>
      <c r="J19" s="69">
        <f>SUM(J4:J18)</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K7" sqref="K7"/>
    </sheetView>
  </sheetViews>
  <sheetFormatPr defaultRowHeight="15"/>
  <cols>
    <col min="2" max="2" width="23" bestFit="1" customWidth="1"/>
    <col min="3" max="3" width="10.7109375" bestFit="1" customWidth="1"/>
    <col min="4" max="4" width="12" customWidth="1"/>
    <col min="5" max="5" width="10.7109375" style="437" bestFit="1" customWidth="1"/>
    <col min="6" max="6" width="12.42578125" style="437" customWidth="1"/>
    <col min="7" max="7" width="10.7109375" style="437" bestFit="1" customWidth="1"/>
    <col min="8" max="8" width="12.42578125" style="437" customWidth="1"/>
    <col min="9" max="9" width="10.7109375" bestFit="1" customWidth="1"/>
    <col min="10" max="10" width="12.42578125" customWidth="1"/>
  </cols>
  <sheetData>
    <row r="1" spans="1:11" ht="15.75" thickBot="1">
      <c r="A1" s="932" t="s">
        <v>141</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43788</v>
      </c>
      <c r="B4" s="71" t="s">
        <v>343</v>
      </c>
      <c r="C4" s="739">
        <v>605531.69999999995</v>
      </c>
      <c r="D4" s="744">
        <f>C4</f>
        <v>605531.69999999995</v>
      </c>
      <c r="E4" s="754"/>
      <c r="F4" s="785" t="str">
        <f>IF(ISBLANK($I4),"----",$I4-$D4)</f>
        <v>----</v>
      </c>
      <c r="G4" s="754"/>
      <c r="H4" s="785" t="str">
        <f t="shared" ref="H4:H18" si="0">IF(OR(G4="Complete",ISBLANK(G4)),"----",G4-$D4)</f>
        <v>----</v>
      </c>
      <c r="I4" s="749"/>
      <c r="J4" s="786" t="str">
        <f t="shared" ref="J4:J18" si="1">IF(OR(I4="Complete",ISBLANK(I4)),"----",I4-$D4)</f>
        <v>----</v>
      </c>
    </row>
    <row r="5" spans="1:11">
      <c r="A5" s="127">
        <v>44153</v>
      </c>
      <c r="B5" s="128" t="s">
        <v>342</v>
      </c>
      <c r="C5" s="767">
        <v>713284.12</v>
      </c>
      <c r="D5" s="768">
        <v>221704.12</v>
      </c>
      <c r="E5" s="769">
        <v>208108.73</v>
      </c>
      <c r="F5" s="678">
        <f t="shared" ref="F5:F18" si="2">IF(ISBLANK(E5),"----",E5-D5)</f>
        <v>-13595.389999999985</v>
      </c>
      <c r="G5" s="769" t="s">
        <v>704</v>
      </c>
      <c r="H5" s="678" t="str">
        <f t="shared" si="0"/>
        <v>----</v>
      </c>
      <c r="I5" s="771" t="s">
        <v>704</v>
      </c>
      <c r="J5" s="677" t="str">
        <f t="shared" si="1"/>
        <v>----</v>
      </c>
    </row>
    <row r="6" spans="1:11">
      <c r="A6" s="120">
        <v>44397</v>
      </c>
      <c r="B6" s="121" t="s">
        <v>443</v>
      </c>
      <c r="C6" s="742">
        <v>289498.25</v>
      </c>
      <c r="D6" s="759">
        <v>71018.25</v>
      </c>
      <c r="E6" s="773"/>
      <c r="F6" s="678" t="str">
        <f t="shared" si="2"/>
        <v>----</v>
      </c>
      <c r="G6" s="773">
        <f>280423.17-218480</f>
        <v>61943.169999999984</v>
      </c>
      <c r="H6" s="678">
        <f t="shared" si="0"/>
        <v>-9075.0800000000163</v>
      </c>
      <c r="I6" s="774"/>
      <c r="J6" s="677" t="str">
        <f t="shared" si="1"/>
        <v>----</v>
      </c>
      <c r="K6" s="735" t="s">
        <v>808</v>
      </c>
    </row>
    <row r="7" spans="1:11">
      <c r="A7" s="120">
        <v>44397</v>
      </c>
      <c r="B7" s="121" t="s">
        <v>444</v>
      </c>
      <c r="C7" s="742">
        <v>874442.2</v>
      </c>
      <c r="D7" s="759">
        <v>492102.2</v>
      </c>
      <c r="E7" s="773"/>
      <c r="F7" s="678" t="str">
        <f t="shared" si="2"/>
        <v>----</v>
      </c>
      <c r="G7" s="773">
        <f>874457.62-382340</f>
        <v>492117.62</v>
      </c>
      <c r="H7" s="678">
        <f t="shared" si="0"/>
        <v>15.419999999983702</v>
      </c>
      <c r="I7" s="774"/>
      <c r="J7" s="677" t="str">
        <f t="shared" si="1"/>
        <v>----</v>
      </c>
      <c r="K7" t="s">
        <v>809</v>
      </c>
    </row>
    <row r="8" spans="1:11">
      <c r="A8" s="120">
        <v>45580</v>
      </c>
      <c r="B8" s="121" t="s">
        <v>778</v>
      </c>
      <c r="C8" s="742">
        <v>714396.59</v>
      </c>
      <c r="D8" s="759">
        <f>C8</f>
        <v>714396.59</v>
      </c>
      <c r="E8" s="773"/>
      <c r="F8" s="678" t="str">
        <f t="shared" si="2"/>
        <v>----</v>
      </c>
      <c r="G8" s="773"/>
      <c r="H8" s="678" t="str">
        <f t="shared" si="0"/>
        <v>----</v>
      </c>
      <c r="I8" s="774"/>
      <c r="J8" s="677" t="str">
        <f t="shared" si="1"/>
        <v>----</v>
      </c>
    </row>
    <row r="9" spans="1:11">
      <c r="A9" s="120"/>
      <c r="B9" s="121"/>
      <c r="C9" s="742"/>
      <c r="D9" s="759"/>
      <c r="E9" s="773"/>
      <c r="F9" s="678" t="str">
        <f t="shared" si="2"/>
        <v>----</v>
      </c>
      <c r="G9" s="773"/>
      <c r="H9" s="678" t="str">
        <f t="shared" si="0"/>
        <v>----</v>
      </c>
      <c r="I9" s="774"/>
      <c r="J9" s="677" t="str">
        <f t="shared" si="1"/>
        <v>----</v>
      </c>
    </row>
    <row r="10" spans="1:11">
      <c r="A10" s="120"/>
      <c r="B10" s="121"/>
      <c r="C10" s="742"/>
      <c r="D10" s="759"/>
      <c r="E10" s="773"/>
      <c r="F10" s="678" t="str">
        <f t="shared" si="2"/>
        <v>----</v>
      </c>
      <c r="G10" s="773"/>
      <c r="H10" s="678" t="str">
        <f t="shared" si="0"/>
        <v>----</v>
      </c>
      <c r="I10" s="774"/>
      <c r="J10" s="677" t="str">
        <f t="shared" si="1"/>
        <v>----</v>
      </c>
    </row>
    <row r="11" spans="1:11">
      <c r="A11" s="120"/>
      <c r="B11" s="121"/>
      <c r="C11" s="742"/>
      <c r="D11" s="759"/>
      <c r="E11" s="773"/>
      <c r="F11" s="678" t="str">
        <f t="shared" si="2"/>
        <v>----</v>
      </c>
      <c r="G11" s="773"/>
      <c r="H11" s="678" t="str">
        <f t="shared" si="0"/>
        <v>----</v>
      </c>
      <c r="I11" s="774"/>
      <c r="J11" s="677" t="str">
        <f t="shared" si="1"/>
        <v>----</v>
      </c>
    </row>
    <row r="12" spans="1:11">
      <c r="A12" s="120"/>
      <c r="B12" s="121"/>
      <c r="C12" s="742"/>
      <c r="D12" s="759"/>
      <c r="E12" s="773"/>
      <c r="F12" s="678" t="str">
        <f t="shared" si="2"/>
        <v>----</v>
      </c>
      <c r="G12" s="773"/>
      <c r="H12" s="678" t="str">
        <f t="shared" si="0"/>
        <v>----</v>
      </c>
      <c r="I12" s="774"/>
      <c r="J12" s="677" t="str">
        <f t="shared" si="1"/>
        <v>----</v>
      </c>
    </row>
    <row r="13" spans="1:11">
      <c r="A13" s="120"/>
      <c r="B13" s="121"/>
      <c r="C13" s="742"/>
      <c r="D13" s="759"/>
      <c r="E13" s="773"/>
      <c r="F13" s="678" t="str">
        <f t="shared" si="2"/>
        <v>----</v>
      </c>
      <c r="G13" s="773"/>
      <c r="H13" s="678" t="str">
        <f t="shared" si="0"/>
        <v>----</v>
      </c>
      <c r="I13" s="774"/>
      <c r="J13" s="677" t="str">
        <f t="shared" si="1"/>
        <v>----</v>
      </c>
    </row>
    <row r="14" spans="1:11">
      <c r="A14" s="120"/>
      <c r="B14" s="121"/>
      <c r="C14" s="742"/>
      <c r="D14" s="759"/>
      <c r="E14" s="773"/>
      <c r="F14" s="678" t="str">
        <f t="shared" si="2"/>
        <v>----</v>
      </c>
      <c r="G14" s="773"/>
      <c r="H14" s="678" t="str">
        <f t="shared" si="0"/>
        <v>----</v>
      </c>
      <c r="I14" s="774"/>
      <c r="J14" s="677" t="str">
        <f t="shared" si="1"/>
        <v>----</v>
      </c>
    </row>
    <row r="15" spans="1:11">
      <c r="A15" s="120"/>
      <c r="B15" s="121"/>
      <c r="C15" s="742"/>
      <c r="D15" s="759"/>
      <c r="E15" s="773"/>
      <c r="F15" s="678" t="str">
        <f t="shared" si="2"/>
        <v>----</v>
      </c>
      <c r="G15" s="773"/>
      <c r="H15" s="678" t="str">
        <f t="shared" si="0"/>
        <v>----</v>
      </c>
      <c r="I15" s="774"/>
      <c r="J15" s="677" t="str">
        <f t="shared" si="1"/>
        <v>----</v>
      </c>
    </row>
    <row r="16" spans="1:11">
      <c r="A16" s="120"/>
      <c r="B16" s="121"/>
      <c r="C16" s="742"/>
      <c r="D16" s="759"/>
      <c r="E16" s="773"/>
      <c r="F16" s="678" t="str">
        <f t="shared" si="2"/>
        <v>----</v>
      </c>
      <c r="G16" s="773"/>
      <c r="H16" s="678" t="str">
        <f t="shared" si="0"/>
        <v>----</v>
      </c>
      <c r="I16" s="774"/>
      <c r="J16" s="677" t="str">
        <f t="shared" si="1"/>
        <v>----</v>
      </c>
    </row>
    <row r="17" spans="1:10">
      <c r="A17" s="123"/>
      <c r="B17" s="124"/>
      <c r="C17" s="743"/>
      <c r="D17" s="760"/>
      <c r="E17" s="781"/>
      <c r="F17" s="678" t="str">
        <f t="shared" si="2"/>
        <v>----</v>
      </c>
      <c r="G17" s="781"/>
      <c r="H17" s="678" t="str">
        <f t="shared" si="0"/>
        <v>----</v>
      </c>
      <c r="I17" s="782"/>
      <c r="J17" s="677" t="str">
        <f t="shared" si="1"/>
        <v>----</v>
      </c>
    </row>
    <row r="18" spans="1:10" ht="15.75" thickBot="1">
      <c r="A18" s="74"/>
      <c r="B18" s="75"/>
      <c r="C18" s="740"/>
      <c r="D18" s="748"/>
      <c r="E18" s="758"/>
      <c r="F18" s="783" t="str">
        <f t="shared" si="2"/>
        <v>----</v>
      </c>
      <c r="G18" s="758"/>
      <c r="H18" s="783" t="str">
        <f t="shared" si="0"/>
        <v>----</v>
      </c>
      <c r="I18" s="753"/>
      <c r="J18" s="784" t="str">
        <f t="shared" si="1"/>
        <v>----</v>
      </c>
    </row>
    <row r="19" spans="1:10" ht="15.75" thickBot="1">
      <c r="A19" s="27"/>
      <c r="B19" s="27"/>
      <c r="C19" s="28"/>
      <c r="D19" s="28"/>
      <c r="E19" s="444"/>
      <c r="F19" s="446">
        <f>SUM(F4:F18)</f>
        <v>-13595.389999999985</v>
      </c>
      <c r="G19" s="444"/>
      <c r="H19" s="446">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N18" sqref="N18"/>
    </sheetView>
  </sheetViews>
  <sheetFormatPr defaultRowHeight="15"/>
  <cols>
    <col min="2" max="2" width="23.7109375" bestFit="1" customWidth="1"/>
    <col min="3" max="3" width="10" bestFit="1" customWidth="1"/>
    <col min="4" max="4" width="11.5703125" customWidth="1"/>
    <col min="5" max="5" width="11.5703125" style="437" customWidth="1"/>
    <col min="6" max="6" width="13.85546875" style="437" customWidth="1"/>
    <col min="7" max="7" width="11.5703125" style="437" customWidth="1"/>
    <col min="8" max="8" width="13.85546875" style="437" customWidth="1"/>
    <col min="9" max="9" width="11.5703125" customWidth="1"/>
    <col min="10" max="10" width="13.85546875" customWidth="1"/>
  </cols>
  <sheetData>
    <row r="1" spans="1:11" ht="15.75" thickBot="1">
      <c r="A1" s="932" t="s">
        <v>158</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43816</v>
      </c>
      <c r="B4" s="71" t="s">
        <v>161</v>
      </c>
      <c r="C4" s="104">
        <v>619973.69999999995</v>
      </c>
      <c r="D4" s="539">
        <v>540968.18000000005</v>
      </c>
      <c r="E4" s="549">
        <f>609367.21-79005.52</f>
        <v>530361.68999999994</v>
      </c>
      <c r="F4" s="475">
        <f t="shared" ref="F4:F28" si="0">IF(ISBLANK(E4),"----",E4-D4)</f>
        <v>-10606.490000000107</v>
      </c>
      <c r="G4" s="549" t="s">
        <v>704</v>
      </c>
      <c r="H4" s="475" t="str">
        <f t="shared" ref="H4:H28" si="1">IF(OR(G4="Complete",ISBLANK(G4)),"----",G4-$D4)</f>
        <v>----</v>
      </c>
      <c r="I4" s="544" t="s">
        <v>704</v>
      </c>
      <c r="J4" s="73" t="str">
        <f t="shared" ref="J4:J28" si="2">IF(OR(I4="Complete",ISBLANK(I4)),"----",I4-$D4)</f>
        <v>----</v>
      </c>
      <c r="K4" s="22" t="s">
        <v>163</v>
      </c>
    </row>
    <row r="5" spans="1:11">
      <c r="A5" s="88">
        <v>43816</v>
      </c>
      <c r="B5" s="101" t="s">
        <v>162</v>
      </c>
      <c r="C5" s="112">
        <v>393547.9</v>
      </c>
      <c r="D5" s="540">
        <f>C5</f>
        <v>393547.9</v>
      </c>
      <c r="E5" s="550">
        <v>394376.07</v>
      </c>
      <c r="F5" s="477">
        <f t="shared" si="0"/>
        <v>828.1699999999837</v>
      </c>
      <c r="G5" s="550" t="s">
        <v>704</v>
      </c>
      <c r="H5" s="477" t="str">
        <f t="shared" si="1"/>
        <v>----</v>
      </c>
      <c r="I5" s="545" t="s">
        <v>704</v>
      </c>
      <c r="J5" s="83" t="str">
        <f t="shared" si="2"/>
        <v>----</v>
      </c>
    </row>
    <row r="6" spans="1:11">
      <c r="A6" s="110">
        <v>44061</v>
      </c>
      <c r="B6" s="111" t="s">
        <v>302</v>
      </c>
      <c r="C6" s="113">
        <v>526549.01</v>
      </c>
      <c r="D6" s="596">
        <v>251264.01</v>
      </c>
      <c r="E6" s="598">
        <v>247856.43</v>
      </c>
      <c r="F6" s="477">
        <f t="shared" si="0"/>
        <v>-3407.5800000000163</v>
      </c>
      <c r="G6" s="598" t="s">
        <v>704</v>
      </c>
      <c r="H6" s="477" t="str">
        <f t="shared" si="1"/>
        <v>----</v>
      </c>
      <c r="I6" s="597" t="s">
        <v>704</v>
      </c>
      <c r="J6" s="83" t="str">
        <f t="shared" si="2"/>
        <v>----</v>
      </c>
    </row>
    <row r="7" spans="1:11">
      <c r="A7" s="120">
        <v>44516</v>
      </c>
      <c r="B7" s="121" t="s">
        <v>471</v>
      </c>
      <c r="C7" s="231">
        <v>240684.43</v>
      </c>
      <c r="D7" s="562">
        <f>C7</f>
        <v>240684.43</v>
      </c>
      <c r="E7" s="551">
        <v>241479.78</v>
      </c>
      <c r="F7" s="477">
        <f t="shared" si="0"/>
        <v>795.35000000000582</v>
      </c>
      <c r="G7" s="551" t="s">
        <v>704</v>
      </c>
      <c r="H7" s="477" t="str">
        <f t="shared" si="1"/>
        <v>----</v>
      </c>
      <c r="I7" s="546" t="s">
        <v>704</v>
      </c>
      <c r="J7" s="83" t="str">
        <f t="shared" si="2"/>
        <v>----</v>
      </c>
    </row>
    <row r="8" spans="1:11">
      <c r="A8" s="120">
        <v>45552</v>
      </c>
      <c r="B8" s="121" t="s">
        <v>777</v>
      </c>
      <c r="C8" s="231">
        <v>278674.15000000002</v>
      </c>
      <c r="D8" s="562">
        <f>C8</f>
        <v>278674.15000000002</v>
      </c>
      <c r="E8" s="551"/>
      <c r="F8" s="477" t="str">
        <f t="shared" si="0"/>
        <v>----</v>
      </c>
      <c r="G8" s="551"/>
      <c r="H8" s="477" t="str">
        <f t="shared" si="1"/>
        <v>----</v>
      </c>
      <c r="I8" s="546"/>
      <c r="J8" s="83" t="str">
        <f t="shared" si="2"/>
        <v>----</v>
      </c>
    </row>
    <row r="9" spans="1:11">
      <c r="A9" s="120"/>
      <c r="B9" s="121"/>
      <c r="C9" s="231"/>
      <c r="D9" s="562"/>
      <c r="E9" s="551"/>
      <c r="F9" s="477" t="str">
        <f t="shared" si="0"/>
        <v>----</v>
      </c>
      <c r="G9" s="551"/>
      <c r="H9" s="477" t="str">
        <f t="shared" si="1"/>
        <v>----</v>
      </c>
      <c r="I9" s="546"/>
      <c r="J9" s="83" t="str">
        <f t="shared" si="2"/>
        <v>----</v>
      </c>
    </row>
    <row r="10" spans="1:11">
      <c r="A10" s="120"/>
      <c r="B10" s="121"/>
      <c r="C10" s="231"/>
      <c r="D10" s="562"/>
      <c r="E10" s="551"/>
      <c r="F10" s="477" t="str">
        <f t="shared" si="0"/>
        <v>----</v>
      </c>
      <c r="G10" s="551"/>
      <c r="H10" s="477" t="str">
        <f t="shared" si="1"/>
        <v>----</v>
      </c>
      <c r="I10" s="546"/>
      <c r="J10" s="83" t="str">
        <f t="shared" si="2"/>
        <v>----</v>
      </c>
    </row>
    <row r="11" spans="1:11">
      <c r="A11" s="120"/>
      <c r="B11" s="121"/>
      <c r="C11" s="231"/>
      <c r="D11" s="562"/>
      <c r="E11" s="551"/>
      <c r="F11" s="477" t="str">
        <f t="shared" si="0"/>
        <v>----</v>
      </c>
      <c r="G11" s="551"/>
      <c r="H11" s="477" t="str">
        <f t="shared" si="1"/>
        <v>----</v>
      </c>
      <c r="I11" s="546"/>
      <c r="J11" s="83" t="str">
        <f t="shared" si="2"/>
        <v>----</v>
      </c>
    </row>
    <row r="12" spans="1:11">
      <c r="A12" s="120"/>
      <c r="B12" s="121"/>
      <c r="C12" s="231"/>
      <c r="D12" s="562"/>
      <c r="E12" s="551"/>
      <c r="F12" s="477" t="str">
        <f t="shared" si="0"/>
        <v>----</v>
      </c>
      <c r="G12" s="551"/>
      <c r="H12" s="477" t="str">
        <f t="shared" si="1"/>
        <v>----</v>
      </c>
      <c r="I12" s="546"/>
      <c r="J12" s="83" t="str">
        <f t="shared" si="2"/>
        <v>----</v>
      </c>
    </row>
    <row r="13" spans="1:11">
      <c r="A13" s="120"/>
      <c r="B13" s="121"/>
      <c r="C13" s="231"/>
      <c r="D13" s="562"/>
      <c r="E13" s="551"/>
      <c r="F13" s="477" t="str">
        <f t="shared" si="0"/>
        <v>----</v>
      </c>
      <c r="G13" s="551"/>
      <c r="H13" s="477" t="str">
        <f t="shared" si="1"/>
        <v>----</v>
      </c>
      <c r="I13" s="546"/>
      <c r="J13" s="83" t="str">
        <f t="shared" si="2"/>
        <v>----</v>
      </c>
    </row>
    <row r="14" spans="1:11">
      <c r="A14" s="120"/>
      <c r="B14" s="121"/>
      <c r="C14" s="231"/>
      <c r="D14" s="562"/>
      <c r="E14" s="551"/>
      <c r="F14" s="477" t="str">
        <f t="shared" si="0"/>
        <v>----</v>
      </c>
      <c r="G14" s="551"/>
      <c r="H14" s="477" t="str">
        <f t="shared" si="1"/>
        <v>----</v>
      </c>
      <c r="I14" s="546"/>
      <c r="J14" s="83" t="str">
        <f t="shared" si="2"/>
        <v>----</v>
      </c>
    </row>
    <row r="15" spans="1:11">
      <c r="A15" s="120"/>
      <c r="B15" s="121"/>
      <c r="C15" s="231"/>
      <c r="D15" s="562"/>
      <c r="E15" s="551"/>
      <c r="F15" s="477" t="str">
        <f t="shared" si="0"/>
        <v>----</v>
      </c>
      <c r="G15" s="551"/>
      <c r="H15" s="477" t="str">
        <f t="shared" si="1"/>
        <v>----</v>
      </c>
      <c r="I15" s="546"/>
      <c r="J15" s="83" t="str">
        <f t="shared" si="2"/>
        <v>----</v>
      </c>
    </row>
    <row r="16" spans="1:11">
      <c r="A16" s="120"/>
      <c r="B16" s="121"/>
      <c r="C16" s="231"/>
      <c r="D16" s="562"/>
      <c r="E16" s="551"/>
      <c r="F16" s="477" t="str">
        <f t="shared" si="0"/>
        <v>----</v>
      </c>
      <c r="G16" s="551"/>
      <c r="H16" s="477" t="str">
        <f t="shared" si="1"/>
        <v>----</v>
      </c>
      <c r="I16" s="546"/>
      <c r="J16" s="83" t="str">
        <f t="shared" si="2"/>
        <v>----</v>
      </c>
    </row>
    <row r="17" spans="1:10">
      <c r="A17" s="120"/>
      <c r="B17" s="121"/>
      <c r="C17" s="231"/>
      <c r="D17" s="562"/>
      <c r="E17" s="551"/>
      <c r="F17" s="477" t="str">
        <f t="shared" si="0"/>
        <v>----</v>
      </c>
      <c r="G17" s="551"/>
      <c r="H17" s="477" t="str">
        <f t="shared" si="1"/>
        <v>----</v>
      </c>
      <c r="I17" s="546"/>
      <c r="J17" s="83" t="str">
        <f t="shared" si="2"/>
        <v>----</v>
      </c>
    </row>
    <row r="18" spans="1:10">
      <c r="A18" s="120"/>
      <c r="B18" s="121"/>
      <c r="C18" s="231"/>
      <c r="D18" s="562"/>
      <c r="E18" s="551"/>
      <c r="F18" s="477" t="str">
        <f t="shared" si="0"/>
        <v>----</v>
      </c>
      <c r="G18" s="551"/>
      <c r="H18" s="477" t="str">
        <f t="shared" si="1"/>
        <v>----</v>
      </c>
      <c r="I18" s="546"/>
      <c r="J18" s="83" t="str">
        <f t="shared" si="2"/>
        <v>----</v>
      </c>
    </row>
    <row r="19" spans="1:10">
      <c r="A19" s="120"/>
      <c r="B19" s="121"/>
      <c r="C19" s="231"/>
      <c r="D19" s="562"/>
      <c r="E19" s="551"/>
      <c r="F19" s="477" t="str">
        <f t="shared" si="0"/>
        <v>----</v>
      </c>
      <c r="G19" s="551"/>
      <c r="H19" s="477" t="str">
        <f t="shared" si="1"/>
        <v>----</v>
      </c>
      <c r="I19" s="546"/>
      <c r="J19" s="83" t="str">
        <f t="shared" si="2"/>
        <v>----</v>
      </c>
    </row>
    <row r="20" spans="1:10">
      <c r="A20" s="120"/>
      <c r="B20" s="121"/>
      <c r="C20" s="231"/>
      <c r="D20" s="562"/>
      <c r="E20" s="551"/>
      <c r="F20" s="477" t="str">
        <f t="shared" si="0"/>
        <v>----</v>
      </c>
      <c r="G20" s="551"/>
      <c r="H20" s="477" t="str">
        <f t="shared" si="1"/>
        <v>----</v>
      </c>
      <c r="I20" s="546"/>
      <c r="J20" s="83" t="str">
        <f t="shared" si="2"/>
        <v>----</v>
      </c>
    </row>
    <row r="21" spans="1:10">
      <c r="A21" s="120"/>
      <c r="B21" s="121"/>
      <c r="C21" s="231"/>
      <c r="D21" s="562"/>
      <c r="E21" s="551"/>
      <c r="F21" s="477" t="str">
        <f t="shared" si="0"/>
        <v>----</v>
      </c>
      <c r="G21" s="551"/>
      <c r="H21" s="477" t="str">
        <f t="shared" si="1"/>
        <v>----</v>
      </c>
      <c r="I21" s="546"/>
      <c r="J21" s="83" t="str">
        <f t="shared" si="2"/>
        <v>----</v>
      </c>
    </row>
    <row r="22" spans="1:10">
      <c r="A22" s="120"/>
      <c r="B22" s="121"/>
      <c r="C22" s="231"/>
      <c r="D22" s="562"/>
      <c r="E22" s="551"/>
      <c r="F22" s="477" t="str">
        <f t="shared" si="0"/>
        <v>----</v>
      </c>
      <c r="G22" s="551"/>
      <c r="H22" s="477" t="str">
        <f t="shared" si="1"/>
        <v>----</v>
      </c>
      <c r="I22" s="546"/>
      <c r="J22" s="83" t="str">
        <f t="shared" si="2"/>
        <v>----</v>
      </c>
    </row>
    <row r="23" spans="1:10">
      <c r="A23" s="120"/>
      <c r="B23" s="121"/>
      <c r="C23" s="231"/>
      <c r="D23" s="562"/>
      <c r="E23" s="551"/>
      <c r="F23" s="477" t="str">
        <f t="shared" si="0"/>
        <v>----</v>
      </c>
      <c r="G23" s="551"/>
      <c r="H23" s="477" t="str">
        <f t="shared" si="1"/>
        <v>----</v>
      </c>
      <c r="I23" s="546"/>
      <c r="J23" s="83" t="str">
        <f t="shared" si="2"/>
        <v>----</v>
      </c>
    </row>
    <row r="24" spans="1:10">
      <c r="A24" s="120"/>
      <c r="B24" s="121"/>
      <c r="C24" s="231"/>
      <c r="D24" s="562"/>
      <c r="E24" s="551"/>
      <c r="F24" s="477" t="str">
        <f t="shared" si="0"/>
        <v>----</v>
      </c>
      <c r="G24" s="551"/>
      <c r="H24" s="477" t="str">
        <f t="shared" si="1"/>
        <v>----</v>
      </c>
      <c r="I24" s="546"/>
      <c r="J24" s="83" t="str">
        <f t="shared" si="2"/>
        <v>----</v>
      </c>
    </row>
    <row r="25" spans="1:10">
      <c r="A25" s="120"/>
      <c r="B25" s="121"/>
      <c r="C25" s="231"/>
      <c r="D25" s="562"/>
      <c r="E25" s="551"/>
      <c r="F25" s="477" t="str">
        <f t="shared" si="0"/>
        <v>----</v>
      </c>
      <c r="G25" s="551"/>
      <c r="H25" s="477" t="str">
        <f t="shared" si="1"/>
        <v>----</v>
      </c>
      <c r="I25" s="546"/>
      <c r="J25" s="83" t="str">
        <f t="shared" si="2"/>
        <v>----</v>
      </c>
    </row>
    <row r="26" spans="1:10">
      <c r="A26" s="120"/>
      <c r="B26" s="121"/>
      <c r="C26" s="231"/>
      <c r="D26" s="562"/>
      <c r="E26" s="551"/>
      <c r="F26" s="477" t="str">
        <f t="shared" si="0"/>
        <v>----</v>
      </c>
      <c r="G26" s="551"/>
      <c r="H26" s="477" t="str">
        <f t="shared" si="1"/>
        <v>----</v>
      </c>
      <c r="I26" s="546"/>
      <c r="J26" s="83" t="str">
        <f t="shared" si="2"/>
        <v>----</v>
      </c>
    </row>
    <row r="27" spans="1:10">
      <c r="A27" s="123"/>
      <c r="B27" s="124"/>
      <c r="C27" s="232"/>
      <c r="D27" s="563"/>
      <c r="E27" s="552"/>
      <c r="F27" s="477" t="str">
        <f t="shared" si="0"/>
        <v>----</v>
      </c>
      <c r="G27" s="552"/>
      <c r="H27" s="477" t="str">
        <f t="shared" si="1"/>
        <v>----</v>
      </c>
      <c r="I27" s="547"/>
      <c r="J27" s="83" t="str">
        <f t="shared" si="2"/>
        <v>----</v>
      </c>
    </row>
    <row r="28" spans="1:10" ht="15.75" thickBot="1">
      <c r="A28" s="109"/>
      <c r="B28" s="75"/>
      <c r="C28" s="106"/>
      <c r="D28" s="543"/>
      <c r="E28" s="553"/>
      <c r="F28" s="481" t="str">
        <f t="shared" si="0"/>
        <v>----</v>
      </c>
      <c r="G28" s="553"/>
      <c r="H28" s="481" t="str">
        <f t="shared" si="1"/>
        <v>----</v>
      </c>
      <c r="I28" s="548"/>
      <c r="J28" s="77" t="str">
        <f t="shared" si="2"/>
        <v>----</v>
      </c>
    </row>
    <row r="29" spans="1:10" ht="15.75" thickBot="1">
      <c r="A29" s="27"/>
      <c r="B29" s="27"/>
      <c r="C29" s="28"/>
      <c r="D29" s="28"/>
      <c r="E29" s="444"/>
      <c r="F29" s="446">
        <f>SUM(F4:F28)</f>
        <v>-12390.550000000134</v>
      </c>
      <c r="G29" s="444"/>
      <c r="H29" s="446">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7"/>
    <col min="6" max="6" width="13.85546875" style="437" customWidth="1"/>
    <col min="7" max="7" width="10.7109375" style="437" bestFit="1" customWidth="1"/>
    <col min="8" max="8" width="13.85546875" style="437" customWidth="1"/>
    <col min="10" max="10" width="13.85546875" customWidth="1"/>
  </cols>
  <sheetData>
    <row r="1" spans="1:11" ht="15.75" thickBot="1">
      <c r="A1" s="932" t="s">
        <v>288</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46.5" thickBot="1">
      <c r="A3" s="940"/>
      <c r="B3" s="942"/>
      <c r="C3" s="942"/>
      <c r="D3" s="954"/>
      <c r="E3" s="465" t="s">
        <v>121</v>
      </c>
      <c r="F3" s="473" t="s">
        <v>113</v>
      </c>
      <c r="G3" s="465" t="s">
        <v>121</v>
      </c>
      <c r="H3" s="473" t="s">
        <v>113</v>
      </c>
      <c r="I3" s="483" t="s">
        <v>121</v>
      </c>
      <c r="J3" s="25" t="s">
        <v>113</v>
      </c>
    </row>
    <row r="4" spans="1:11">
      <c r="A4" s="70">
        <v>44635</v>
      </c>
      <c r="B4" s="71" t="s">
        <v>505</v>
      </c>
      <c r="C4" s="798">
        <v>969749.6</v>
      </c>
      <c r="D4" s="805">
        <f>C4</f>
        <v>969749.6</v>
      </c>
      <c r="E4" s="812"/>
      <c r="F4" s="821" t="str">
        <f t="shared" ref="F4:F27" si="0">IF(ISBLANK(E4),"----",E4-D4)</f>
        <v>----</v>
      </c>
      <c r="G4" s="812">
        <v>981306.57</v>
      </c>
      <c r="H4" s="821">
        <f t="shared" ref="H4:H27" si="1">IF(OR(G4="Complete",ISBLANK(G4)),"----",G4-$D4)</f>
        <v>11556.969999999972</v>
      </c>
      <c r="I4" s="809" t="s">
        <v>704</v>
      </c>
      <c r="J4" s="822" t="str">
        <f t="shared" ref="J4:J27" si="2">IF(OR(I4="Complete",ISBLANK(I4)),"----",I4-$D4)</f>
        <v>----</v>
      </c>
      <c r="K4" s="22"/>
    </row>
    <row r="5" spans="1:11">
      <c r="A5" s="88">
        <v>45679</v>
      </c>
      <c r="B5" s="714" t="s">
        <v>832</v>
      </c>
      <c r="C5" s="801">
        <v>626193.72</v>
      </c>
      <c r="D5" s="806">
        <f>C5</f>
        <v>626193.72</v>
      </c>
      <c r="E5" s="813"/>
      <c r="F5" s="825" t="str">
        <f t="shared" si="0"/>
        <v>----</v>
      </c>
      <c r="G5" s="813"/>
      <c r="H5" s="825" t="str">
        <f t="shared" si="1"/>
        <v>----</v>
      </c>
      <c r="I5" s="810"/>
      <c r="J5" s="826" t="str">
        <f t="shared" si="2"/>
        <v>----</v>
      </c>
    </row>
    <row r="6" spans="1:11">
      <c r="A6" s="88"/>
      <c r="B6" s="101"/>
      <c r="C6" s="801"/>
      <c r="D6" s="806"/>
      <c r="E6" s="813"/>
      <c r="F6" s="825" t="str">
        <f t="shared" si="0"/>
        <v>----</v>
      </c>
      <c r="G6" s="813"/>
      <c r="H6" s="825" t="str">
        <f t="shared" si="1"/>
        <v>----</v>
      </c>
      <c r="I6" s="810"/>
      <c r="J6" s="826" t="str">
        <f t="shared" si="2"/>
        <v>----</v>
      </c>
    </row>
    <row r="7" spans="1:11">
      <c r="A7" s="88"/>
      <c r="B7" s="101"/>
      <c r="C7" s="801"/>
      <c r="D7" s="806"/>
      <c r="E7" s="813"/>
      <c r="F7" s="825" t="str">
        <f t="shared" si="0"/>
        <v>----</v>
      </c>
      <c r="G7" s="813"/>
      <c r="H7" s="825" t="str">
        <f t="shared" si="1"/>
        <v>----</v>
      </c>
      <c r="I7" s="810"/>
      <c r="J7" s="826" t="str">
        <f t="shared" si="2"/>
        <v>----</v>
      </c>
    </row>
    <row r="8" spans="1:11">
      <c r="A8" s="88"/>
      <c r="B8" s="101"/>
      <c r="C8" s="801"/>
      <c r="D8" s="806"/>
      <c r="E8" s="813"/>
      <c r="F8" s="825" t="str">
        <f t="shared" si="0"/>
        <v>----</v>
      </c>
      <c r="G8" s="813"/>
      <c r="H8" s="825" t="str">
        <f t="shared" si="1"/>
        <v>----</v>
      </c>
      <c r="I8" s="810"/>
      <c r="J8" s="826" t="str">
        <f t="shared" si="2"/>
        <v>----</v>
      </c>
    </row>
    <row r="9" spans="1:11">
      <c r="A9" s="88"/>
      <c r="B9" s="101"/>
      <c r="C9" s="801"/>
      <c r="D9" s="806"/>
      <c r="E9" s="813"/>
      <c r="F9" s="825" t="str">
        <f t="shared" si="0"/>
        <v>----</v>
      </c>
      <c r="G9" s="813"/>
      <c r="H9" s="825" t="str">
        <f t="shared" si="1"/>
        <v>----</v>
      </c>
      <c r="I9" s="810"/>
      <c r="J9" s="826" t="str">
        <f t="shared" si="2"/>
        <v>----</v>
      </c>
    </row>
    <row r="10" spans="1:11">
      <c r="A10" s="88"/>
      <c r="B10" s="101"/>
      <c r="C10" s="801"/>
      <c r="D10" s="806"/>
      <c r="E10" s="813"/>
      <c r="F10" s="825" t="str">
        <f t="shared" si="0"/>
        <v>----</v>
      </c>
      <c r="G10" s="813"/>
      <c r="H10" s="825" t="str">
        <f t="shared" si="1"/>
        <v>----</v>
      </c>
      <c r="I10" s="810"/>
      <c r="J10" s="826" t="str">
        <f t="shared" si="2"/>
        <v>----</v>
      </c>
    </row>
    <row r="11" spans="1:11">
      <c r="A11" s="88"/>
      <c r="B11" s="101"/>
      <c r="C11" s="801"/>
      <c r="D11" s="806"/>
      <c r="E11" s="813"/>
      <c r="F11" s="825" t="str">
        <f t="shared" si="0"/>
        <v>----</v>
      </c>
      <c r="G11" s="813"/>
      <c r="H11" s="825" t="str">
        <f t="shared" si="1"/>
        <v>----</v>
      </c>
      <c r="I11" s="810"/>
      <c r="J11" s="826" t="str">
        <f t="shared" si="2"/>
        <v>----</v>
      </c>
    </row>
    <row r="12" spans="1:11">
      <c r="A12" s="88"/>
      <c r="B12" s="101"/>
      <c r="C12" s="801"/>
      <c r="D12" s="806"/>
      <c r="E12" s="813"/>
      <c r="F12" s="825" t="str">
        <f t="shared" si="0"/>
        <v>----</v>
      </c>
      <c r="G12" s="813"/>
      <c r="H12" s="825" t="str">
        <f t="shared" si="1"/>
        <v>----</v>
      </c>
      <c r="I12" s="810"/>
      <c r="J12" s="826" t="str">
        <f t="shared" si="2"/>
        <v>----</v>
      </c>
    </row>
    <row r="13" spans="1:11">
      <c r="A13" s="88"/>
      <c r="B13" s="101"/>
      <c r="C13" s="801"/>
      <c r="D13" s="806"/>
      <c r="E13" s="813"/>
      <c r="F13" s="825" t="str">
        <f t="shared" si="0"/>
        <v>----</v>
      </c>
      <c r="G13" s="813"/>
      <c r="H13" s="825" t="str">
        <f t="shared" si="1"/>
        <v>----</v>
      </c>
      <c r="I13" s="810"/>
      <c r="J13" s="826" t="str">
        <f t="shared" si="2"/>
        <v>----</v>
      </c>
    </row>
    <row r="14" spans="1:11">
      <c r="A14" s="88"/>
      <c r="B14" s="101"/>
      <c r="C14" s="801"/>
      <c r="D14" s="806"/>
      <c r="E14" s="813"/>
      <c r="F14" s="825" t="str">
        <f t="shared" si="0"/>
        <v>----</v>
      </c>
      <c r="G14" s="813"/>
      <c r="H14" s="825" t="str">
        <f t="shared" si="1"/>
        <v>----</v>
      </c>
      <c r="I14" s="810"/>
      <c r="J14" s="826" t="str">
        <f t="shared" si="2"/>
        <v>----</v>
      </c>
    </row>
    <row r="15" spans="1:11">
      <c r="A15" s="88"/>
      <c r="B15" s="101"/>
      <c r="C15" s="801"/>
      <c r="D15" s="806"/>
      <c r="E15" s="813"/>
      <c r="F15" s="825" t="str">
        <f t="shared" si="0"/>
        <v>----</v>
      </c>
      <c r="G15" s="813"/>
      <c r="H15" s="825" t="str">
        <f t="shared" si="1"/>
        <v>----</v>
      </c>
      <c r="I15" s="810"/>
      <c r="J15" s="826" t="str">
        <f t="shared" si="2"/>
        <v>----</v>
      </c>
    </row>
    <row r="16" spans="1:11">
      <c r="A16" s="88"/>
      <c r="B16" s="101"/>
      <c r="C16" s="801"/>
      <c r="D16" s="806"/>
      <c r="E16" s="813"/>
      <c r="F16" s="825" t="str">
        <f t="shared" si="0"/>
        <v>----</v>
      </c>
      <c r="G16" s="813"/>
      <c r="H16" s="825" t="str">
        <f t="shared" si="1"/>
        <v>----</v>
      </c>
      <c r="I16" s="810"/>
      <c r="J16" s="826" t="str">
        <f t="shared" si="2"/>
        <v>----</v>
      </c>
    </row>
    <row r="17" spans="1:10">
      <c r="A17" s="88"/>
      <c r="B17" s="101"/>
      <c r="C17" s="801"/>
      <c r="D17" s="806"/>
      <c r="E17" s="813"/>
      <c r="F17" s="825" t="str">
        <f t="shared" si="0"/>
        <v>----</v>
      </c>
      <c r="G17" s="813"/>
      <c r="H17" s="825" t="str">
        <f t="shared" si="1"/>
        <v>----</v>
      </c>
      <c r="I17" s="810"/>
      <c r="J17" s="826" t="str">
        <f t="shared" si="2"/>
        <v>----</v>
      </c>
    </row>
    <row r="18" spans="1:10">
      <c r="A18" s="88"/>
      <c r="B18" s="101"/>
      <c r="C18" s="801"/>
      <c r="D18" s="806"/>
      <c r="E18" s="813"/>
      <c r="F18" s="825" t="str">
        <f t="shared" si="0"/>
        <v>----</v>
      </c>
      <c r="G18" s="813"/>
      <c r="H18" s="825" t="str">
        <f t="shared" si="1"/>
        <v>----</v>
      </c>
      <c r="I18" s="810"/>
      <c r="J18" s="826" t="str">
        <f t="shared" si="2"/>
        <v>----</v>
      </c>
    </row>
    <row r="19" spans="1:10">
      <c r="A19" s="88"/>
      <c r="B19" s="101"/>
      <c r="C19" s="801"/>
      <c r="D19" s="806"/>
      <c r="E19" s="813"/>
      <c r="F19" s="825" t="str">
        <f t="shared" si="0"/>
        <v>----</v>
      </c>
      <c r="G19" s="813"/>
      <c r="H19" s="825" t="str">
        <f t="shared" si="1"/>
        <v>----</v>
      </c>
      <c r="I19" s="810"/>
      <c r="J19" s="826" t="str">
        <f t="shared" si="2"/>
        <v>----</v>
      </c>
    </row>
    <row r="20" spans="1:10">
      <c r="A20" s="88"/>
      <c r="B20" s="101"/>
      <c r="C20" s="801"/>
      <c r="D20" s="806"/>
      <c r="E20" s="813"/>
      <c r="F20" s="825" t="str">
        <f t="shared" si="0"/>
        <v>----</v>
      </c>
      <c r="G20" s="813"/>
      <c r="H20" s="825" t="str">
        <f t="shared" si="1"/>
        <v>----</v>
      </c>
      <c r="I20" s="810"/>
      <c r="J20" s="826" t="str">
        <f t="shared" si="2"/>
        <v>----</v>
      </c>
    </row>
    <row r="21" spans="1:10">
      <c r="A21" s="88"/>
      <c r="B21" s="101"/>
      <c r="C21" s="801"/>
      <c r="D21" s="806"/>
      <c r="E21" s="813"/>
      <c r="F21" s="825" t="str">
        <f t="shared" si="0"/>
        <v>----</v>
      </c>
      <c r="G21" s="813"/>
      <c r="H21" s="825" t="str">
        <f t="shared" si="1"/>
        <v>----</v>
      </c>
      <c r="I21" s="810"/>
      <c r="J21" s="826" t="str">
        <f t="shared" si="2"/>
        <v>----</v>
      </c>
    </row>
    <row r="22" spans="1:10">
      <c r="A22" s="88"/>
      <c r="B22" s="101"/>
      <c r="C22" s="801"/>
      <c r="D22" s="806"/>
      <c r="E22" s="813"/>
      <c r="F22" s="825" t="str">
        <f t="shared" si="0"/>
        <v>----</v>
      </c>
      <c r="G22" s="813"/>
      <c r="H22" s="825" t="str">
        <f t="shared" si="1"/>
        <v>----</v>
      </c>
      <c r="I22" s="810"/>
      <c r="J22" s="826" t="str">
        <f t="shared" si="2"/>
        <v>----</v>
      </c>
    </row>
    <row r="23" spans="1:10">
      <c r="A23" s="88"/>
      <c r="B23" s="101"/>
      <c r="C23" s="801"/>
      <c r="D23" s="806"/>
      <c r="E23" s="813"/>
      <c r="F23" s="825" t="str">
        <f t="shared" si="0"/>
        <v>----</v>
      </c>
      <c r="G23" s="813"/>
      <c r="H23" s="825" t="str">
        <f t="shared" si="1"/>
        <v>----</v>
      </c>
      <c r="I23" s="810"/>
      <c r="J23" s="826" t="str">
        <f t="shared" si="2"/>
        <v>----</v>
      </c>
    </row>
    <row r="24" spans="1:10">
      <c r="A24" s="88"/>
      <c r="B24" s="101"/>
      <c r="C24" s="801"/>
      <c r="D24" s="806"/>
      <c r="E24" s="813"/>
      <c r="F24" s="825" t="str">
        <f t="shared" si="0"/>
        <v>----</v>
      </c>
      <c r="G24" s="813"/>
      <c r="H24" s="825" t="str">
        <f t="shared" si="1"/>
        <v>----</v>
      </c>
      <c r="I24" s="810"/>
      <c r="J24" s="826" t="str">
        <f t="shared" si="2"/>
        <v>----</v>
      </c>
    </row>
    <row r="25" spans="1:10">
      <c r="A25" s="88"/>
      <c r="B25" s="101"/>
      <c r="C25" s="801"/>
      <c r="D25" s="806"/>
      <c r="E25" s="813"/>
      <c r="F25" s="825" t="str">
        <f t="shared" si="0"/>
        <v>----</v>
      </c>
      <c r="G25" s="813"/>
      <c r="H25" s="825" t="str">
        <f t="shared" si="1"/>
        <v>----</v>
      </c>
      <c r="I25" s="810"/>
      <c r="J25" s="826" t="str">
        <f t="shared" si="2"/>
        <v>----</v>
      </c>
    </row>
    <row r="26" spans="1:10">
      <c r="A26" s="88"/>
      <c r="B26" s="101"/>
      <c r="C26" s="801"/>
      <c r="D26" s="806"/>
      <c r="E26" s="813"/>
      <c r="F26" s="825" t="str">
        <f t="shared" si="0"/>
        <v>----</v>
      </c>
      <c r="G26" s="813"/>
      <c r="H26" s="825" t="str">
        <f t="shared" si="1"/>
        <v>----</v>
      </c>
      <c r="I26" s="810"/>
      <c r="J26" s="826" t="str">
        <f t="shared" si="2"/>
        <v>----</v>
      </c>
    </row>
    <row r="27" spans="1:10" ht="15.75" thickBot="1">
      <c r="A27" s="74"/>
      <c r="B27" s="75"/>
      <c r="C27" s="800"/>
      <c r="D27" s="808"/>
      <c r="E27" s="814"/>
      <c r="F27" s="819" t="str">
        <f t="shared" si="0"/>
        <v>----</v>
      </c>
      <c r="G27" s="814"/>
      <c r="H27" s="819" t="str">
        <f t="shared" si="1"/>
        <v>----</v>
      </c>
      <c r="I27" s="811"/>
      <c r="J27" s="820" t="str">
        <f t="shared" si="2"/>
        <v>----</v>
      </c>
    </row>
    <row r="28" spans="1:10" ht="15.75" thickBot="1">
      <c r="A28" s="27"/>
      <c r="B28" s="27"/>
      <c r="C28" s="832"/>
      <c r="D28" s="832"/>
      <c r="E28" s="832"/>
      <c r="F28" s="833">
        <f>SUM(F4:F27)</f>
        <v>0</v>
      </c>
      <c r="G28" s="832"/>
      <c r="H28" s="833">
        <f>SUM(H4:H27)</f>
        <v>11556.969999999972</v>
      </c>
      <c r="I28" s="832"/>
      <c r="J28" s="833">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7" bestFit="1" customWidth="1"/>
    <col min="6" max="6" width="10.42578125" style="437" bestFit="1" customWidth="1"/>
    <col min="7" max="7" width="10.7109375" style="437" bestFit="1" customWidth="1"/>
    <col min="8" max="8" width="10.42578125" style="437" bestFit="1" customWidth="1"/>
    <col min="9" max="9" width="10.7109375" bestFit="1" customWidth="1"/>
    <col min="10" max="10" width="10.42578125" bestFit="1" customWidth="1"/>
  </cols>
  <sheetData>
    <row r="1" spans="1:11" ht="15.75" thickBot="1">
      <c r="A1" s="932" t="s">
        <v>188</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43852</v>
      </c>
      <c r="B4" s="71" t="s">
        <v>189</v>
      </c>
      <c r="C4" s="72">
        <v>328686.63</v>
      </c>
      <c r="D4" s="434">
        <f>C4</f>
        <v>328686.63</v>
      </c>
      <c r="E4" s="474">
        <v>340322.04</v>
      </c>
      <c r="F4" s="475">
        <f t="shared" ref="F4:F19" si="0">IF(ISBLANK(E4),"----",E4-D4)</f>
        <v>11635.409999999974</v>
      </c>
      <c r="G4" s="474" t="s">
        <v>704</v>
      </c>
      <c r="H4" s="475" t="str">
        <f t="shared" ref="H4:H19" si="1">IF(OR(G4="Complete",ISBLANK(G4)),"----",G4-$D4)</f>
        <v>----</v>
      </c>
      <c r="I4" s="484" t="s">
        <v>704</v>
      </c>
      <c r="J4" s="73" t="str">
        <f t="shared" ref="J4:J19" si="2">IF(OR(I4="Complete",ISBLANK(I4)),"----",I4-$D4)</f>
        <v>----</v>
      </c>
    </row>
    <row r="5" spans="1:11">
      <c r="A5" s="88">
        <v>43852</v>
      </c>
      <c r="B5" s="101" t="s">
        <v>190</v>
      </c>
      <c r="C5" s="82">
        <v>313983.13</v>
      </c>
      <c r="D5" s="436">
        <f>C5</f>
        <v>313983.13</v>
      </c>
      <c r="E5" s="476">
        <v>333965.59000000003</v>
      </c>
      <c r="F5" s="477">
        <f t="shared" si="0"/>
        <v>19982.460000000021</v>
      </c>
      <c r="G5" s="476" t="s">
        <v>704</v>
      </c>
      <c r="H5" s="477" t="str">
        <f t="shared" si="1"/>
        <v>----</v>
      </c>
      <c r="I5" s="489" t="s">
        <v>704</v>
      </c>
      <c r="J5" s="83" t="str">
        <f t="shared" si="2"/>
        <v>----</v>
      </c>
    </row>
    <row r="6" spans="1:11">
      <c r="A6" s="102">
        <v>44124</v>
      </c>
      <c r="B6" s="103" t="s">
        <v>321</v>
      </c>
      <c r="C6" s="87">
        <v>945560.95</v>
      </c>
      <c r="D6" s="471">
        <f>C6</f>
        <v>945560.95</v>
      </c>
      <c r="E6" s="478">
        <v>964026.48</v>
      </c>
      <c r="F6" s="477">
        <f t="shared" si="0"/>
        <v>18465.530000000028</v>
      </c>
      <c r="G6" s="478" t="s">
        <v>704</v>
      </c>
      <c r="H6" s="477" t="str">
        <f t="shared" si="1"/>
        <v>----</v>
      </c>
      <c r="I6" s="491" t="s">
        <v>704</v>
      </c>
      <c r="J6" s="83" t="str">
        <f t="shared" si="2"/>
        <v>----</v>
      </c>
    </row>
    <row r="7" spans="1:11">
      <c r="A7" s="130">
        <v>44153</v>
      </c>
      <c r="B7" s="103" t="s">
        <v>344</v>
      </c>
      <c r="C7" s="87">
        <v>266083.8</v>
      </c>
      <c r="D7" s="471">
        <f>C7</f>
        <v>266083.8</v>
      </c>
      <c r="E7" s="478">
        <v>263462.09999999998</v>
      </c>
      <c r="F7" s="477">
        <f t="shared" si="0"/>
        <v>-2621.7000000000116</v>
      </c>
      <c r="G7" s="478" t="s">
        <v>704</v>
      </c>
      <c r="H7" s="477" t="str">
        <f t="shared" si="1"/>
        <v>----</v>
      </c>
      <c r="I7" s="491" t="s">
        <v>704</v>
      </c>
      <c r="J7" s="83" t="str">
        <f t="shared" si="2"/>
        <v>----</v>
      </c>
    </row>
    <row r="8" spans="1:11">
      <c r="A8" s="102">
        <v>44153</v>
      </c>
      <c r="B8" s="103" t="s">
        <v>345</v>
      </c>
      <c r="C8" s="87">
        <v>391936.2</v>
      </c>
      <c r="D8" s="471">
        <f>C8</f>
        <v>391936.2</v>
      </c>
      <c r="E8" s="478">
        <v>365725.49</v>
      </c>
      <c r="F8" s="477">
        <f t="shared" si="0"/>
        <v>-26210.710000000021</v>
      </c>
      <c r="G8" s="478" t="s">
        <v>704</v>
      </c>
      <c r="H8" s="477" t="str">
        <f t="shared" si="1"/>
        <v>----</v>
      </c>
      <c r="I8" s="491" t="s">
        <v>704</v>
      </c>
      <c r="J8" s="83" t="str">
        <f t="shared" si="2"/>
        <v>----</v>
      </c>
    </row>
    <row r="9" spans="1:11">
      <c r="A9" s="950">
        <v>44271</v>
      </c>
      <c r="B9" s="103" t="s">
        <v>410</v>
      </c>
      <c r="C9" s="87">
        <v>102512.25</v>
      </c>
      <c r="D9" s="471">
        <v>47892.25</v>
      </c>
      <c r="E9" s="478"/>
      <c r="F9" s="477" t="str">
        <f t="shared" si="0"/>
        <v>----</v>
      </c>
      <c r="G9" s="478"/>
      <c r="H9" s="477" t="str">
        <f t="shared" si="1"/>
        <v>----</v>
      </c>
      <c r="I9" s="491"/>
      <c r="J9" s="83" t="str">
        <f t="shared" si="2"/>
        <v>----</v>
      </c>
    </row>
    <row r="10" spans="1:11">
      <c r="A10" s="952"/>
      <c r="B10" s="103" t="s">
        <v>411</v>
      </c>
      <c r="C10" s="87">
        <v>151726.25</v>
      </c>
      <c r="D10" s="516">
        <v>0</v>
      </c>
      <c r="E10" s="478">
        <v>0</v>
      </c>
      <c r="F10" s="477">
        <f t="shared" si="0"/>
        <v>0</v>
      </c>
      <c r="G10" s="478">
        <v>0</v>
      </c>
      <c r="H10" s="477">
        <f t="shared" si="1"/>
        <v>0</v>
      </c>
      <c r="I10" s="491">
        <v>0</v>
      </c>
      <c r="J10" s="83">
        <f t="shared" si="2"/>
        <v>0</v>
      </c>
      <c r="K10" s="429" t="s">
        <v>701</v>
      </c>
    </row>
    <row r="11" spans="1:11">
      <c r="A11" s="102">
        <v>44516</v>
      </c>
      <c r="B11" s="103" t="s">
        <v>472</v>
      </c>
      <c r="C11" s="87">
        <v>283612.98</v>
      </c>
      <c r="D11" s="471">
        <f>C11</f>
        <v>283612.98</v>
      </c>
      <c r="E11" s="478">
        <v>282754.26</v>
      </c>
      <c r="F11" s="477">
        <f t="shared" si="0"/>
        <v>-858.71999999997206</v>
      </c>
      <c r="G11" s="478" t="s">
        <v>704</v>
      </c>
      <c r="H11" s="477" t="str">
        <f t="shared" si="1"/>
        <v>----</v>
      </c>
      <c r="I11" s="491" t="s">
        <v>704</v>
      </c>
      <c r="J11" s="83" t="str">
        <f t="shared" si="2"/>
        <v>----</v>
      </c>
    </row>
    <row r="12" spans="1:11">
      <c r="A12" s="102"/>
      <c r="B12" s="103"/>
      <c r="C12" s="87"/>
      <c r="D12" s="471"/>
      <c r="E12" s="478"/>
      <c r="F12" s="477" t="str">
        <f t="shared" si="0"/>
        <v>----</v>
      </c>
      <c r="G12" s="478"/>
      <c r="H12" s="477" t="str">
        <f t="shared" si="1"/>
        <v>----</v>
      </c>
      <c r="I12" s="491"/>
      <c r="J12" s="83" t="str">
        <f t="shared" si="2"/>
        <v>----</v>
      </c>
    </row>
    <row r="13" spans="1:11">
      <c r="A13" s="102"/>
      <c r="B13" s="103"/>
      <c r="C13" s="87"/>
      <c r="D13" s="471"/>
      <c r="E13" s="478"/>
      <c r="F13" s="477" t="str">
        <f t="shared" si="0"/>
        <v>----</v>
      </c>
      <c r="G13" s="478"/>
      <c r="H13" s="477" t="str">
        <f t="shared" si="1"/>
        <v>----</v>
      </c>
      <c r="I13" s="491"/>
      <c r="J13" s="83" t="str">
        <f t="shared" si="2"/>
        <v>----</v>
      </c>
    </row>
    <row r="14" spans="1:11">
      <c r="A14" s="102"/>
      <c r="B14" s="103"/>
      <c r="C14" s="87"/>
      <c r="D14" s="471"/>
      <c r="E14" s="478"/>
      <c r="F14" s="477" t="str">
        <f t="shared" si="0"/>
        <v>----</v>
      </c>
      <c r="G14" s="478"/>
      <c r="H14" s="477" t="str">
        <f t="shared" si="1"/>
        <v>----</v>
      </c>
      <c r="I14" s="491"/>
      <c r="J14" s="83" t="str">
        <f t="shared" si="2"/>
        <v>----</v>
      </c>
    </row>
    <row r="15" spans="1:11">
      <c r="A15" s="102"/>
      <c r="B15" s="103"/>
      <c r="C15" s="87"/>
      <c r="D15" s="471"/>
      <c r="E15" s="478"/>
      <c r="F15" s="477" t="str">
        <f t="shared" si="0"/>
        <v>----</v>
      </c>
      <c r="G15" s="478"/>
      <c r="H15" s="477" t="str">
        <f t="shared" si="1"/>
        <v>----</v>
      </c>
      <c r="I15" s="491"/>
      <c r="J15" s="83" t="str">
        <f t="shared" si="2"/>
        <v>----</v>
      </c>
    </row>
    <row r="16" spans="1:11">
      <c r="A16" s="102"/>
      <c r="B16" s="103"/>
      <c r="C16" s="87"/>
      <c r="D16" s="471"/>
      <c r="E16" s="478"/>
      <c r="F16" s="477" t="str">
        <f t="shared" si="0"/>
        <v>----</v>
      </c>
      <c r="G16" s="478"/>
      <c r="H16" s="477" t="str">
        <f t="shared" si="1"/>
        <v>----</v>
      </c>
      <c r="I16" s="491"/>
      <c r="J16" s="83" t="str">
        <f t="shared" si="2"/>
        <v>----</v>
      </c>
    </row>
    <row r="17" spans="1:10">
      <c r="A17" s="102"/>
      <c r="B17" s="103"/>
      <c r="C17" s="87"/>
      <c r="D17" s="471"/>
      <c r="E17" s="478"/>
      <c r="F17" s="477" t="str">
        <f t="shared" si="0"/>
        <v>----</v>
      </c>
      <c r="G17" s="478"/>
      <c r="H17" s="477" t="str">
        <f t="shared" si="1"/>
        <v>----</v>
      </c>
      <c r="I17" s="491"/>
      <c r="J17" s="83" t="str">
        <f t="shared" si="2"/>
        <v>----</v>
      </c>
    </row>
    <row r="18" spans="1:10">
      <c r="A18" s="116"/>
      <c r="B18" s="117"/>
      <c r="C18" s="118"/>
      <c r="D18" s="472"/>
      <c r="E18" s="479"/>
      <c r="F18" s="477" t="str">
        <f t="shared" si="0"/>
        <v>----</v>
      </c>
      <c r="G18" s="479"/>
      <c r="H18" s="477" t="str">
        <f t="shared" si="1"/>
        <v>----</v>
      </c>
      <c r="I18" s="493"/>
      <c r="J18" s="83" t="str">
        <f t="shared" si="2"/>
        <v>----</v>
      </c>
    </row>
    <row r="19" spans="1:10" ht="15.75" thickBot="1">
      <c r="A19" s="74"/>
      <c r="B19" s="75"/>
      <c r="C19" s="76"/>
      <c r="D19" s="435"/>
      <c r="E19" s="480"/>
      <c r="F19" s="481" t="str">
        <f t="shared" si="0"/>
        <v>----</v>
      </c>
      <c r="G19" s="480"/>
      <c r="H19" s="481" t="str">
        <f t="shared" si="1"/>
        <v>----</v>
      </c>
      <c r="I19" s="486"/>
      <c r="J19" s="77" t="str">
        <f t="shared" si="2"/>
        <v>----</v>
      </c>
    </row>
    <row r="20" spans="1:10" ht="15.75" thickBot="1">
      <c r="A20" s="27"/>
      <c r="B20" s="27"/>
      <c r="C20" s="28"/>
      <c r="D20" s="28"/>
      <c r="E20" s="444"/>
      <c r="F20" s="446">
        <f>SUM(F4:F19)</f>
        <v>20392.270000000019</v>
      </c>
      <c r="G20" s="444"/>
      <c r="H20" s="446">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N23" sqref="N23"/>
    </sheetView>
  </sheetViews>
  <sheetFormatPr defaultRowHeight="15"/>
  <cols>
    <col min="2" max="2" width="20.5703125" bestFit="1" customWidth="1"/>
    <col min="3" max="3" width="10.7109375" bestFit="1" customWidth="1"/>
    <col min="4" max="4" width="13" customWidth="1"/>
    <col min="5" max="5" width="10.7109375" style="437" bestFit="1" customWidth="1"/>
    <col min="6" max="6" width="14.85546875" style="437" customWidth="1"/>
    <col min="7" max="7" width="10.7109375" style="437" bestFit="1" customWidth="1"/>
    <col min="8" max="8" width="14.85546875" style="437" customWidth="1"/>
    <col min="9" max="9" width="10.7109375" bestFit="1" customWidth="1"/>
    <col min="10" max="10" width="14.85546875" customWidth="1"/>
  </cols>
  <sheetData>
    <row r="1" spans="1:10" ht="15.75" thickBot="1">
      <c r="A1" s="932" t="s">
        <v>235</v>
      </c>
      <c r="B1" s="933"/>
      <c r="C1" s="933"/>
      <c r="D1" s="933"/>
      <c r="E1" s="933"/>
      <c r="F1" s="933"/>
      <c r="G1" s="933"/>
      <c r="H1" s="933"/>
      <c r="I1" s="933"/>
      <c r="J1" s="934"/>
    </row>
    <row r="2" spans="1:10" s="437" customFormat="1">
      <c r="A2" s="939" t="s">
        <v>110</v>
      </c>
      <c r="B2" s="941" t="s">
        <v>111</v>
      </c>
      <c r="C2" s="941" t="s">
        <v>112</v>
      </c>
      <c r="D2" s="953" t="s">
        <v>120</v>
      </c>
      <c r="E2" s="937" t="s">
        <v>702</v>
      </c>
      <c r="F2" s="938"/>
      <c r="G2" s="937" t="s">
        <v>703</v>
      </c>
      <c r="H2" s="938"/>
      <c r="I2" s="912" t="s">
        <v>801</v>
      </c>
      <c r="J2" s="913"/>
    </row>
    <row r="3" spans="1:10" ht="46.5" thickBot="1">
      <c r="A3" s="940"/>
      <c r="B3" s="942"/>
      <c r="C3" s="942"/>
      <c r="D3" s="954"/>
      <c r="E3" s="465" t="s">
        <v>121</v>
      </c>
      <c r="F3" s="473" t="s">
        <v>113</v>
      </c>
      <c r="G3" s="465" t="s">
        <v>121</v>
      </c>
      <c r="H3" s="473" t="s">
        <v>113</v>
      </c>
      <c r="I3" s="483" t="s">
        <v>121</v>
      </c>
      <c r="J3" s="25" t="s">
        <v>113</v>
      </c>
    </row>
    <row r="4" spans="1:10">
      <c r="A4" s="70">
        <v>43942</v>
      </c>
      <c r="B4" s="71" t="s">
        <v>236</v>
      </c>
      <c r="C4" s="72">
        <v>259260</v>
      </c>
      <c r="D4" s="434">
        <f>C4</f>
        <v>259260</v>
      </c>
      <c r="E4" s="474"/>
      <c r="F4" s="475" t="str">
        <f t="shared" ref="F4:F25" si="0">IF(ISBLANK(E4),"----",E4-D4)</f>
        <v>----</v>
      </c>
      <c r="G4" s="474"/>
      <c r="H4" s="475" t="str">
        <f t="shared" ref="H4:H25" si="1">IF(OR(G4="Complete",ISBLANK(G4)),"----",G4-$D4)</f>
        <v>----</v>
      </c>
      <c r="I4" s="484"/>
      <c r="J4" s="73" t="str">
        <f t="shared" ref="J4:J25" si="2">IF(OR(I4="Complete",ISBLANK(I4)),"----",I4-$D4)</f>
        <v>----</v>
      </c>
    </row>
    <row r="5" spans="1:10">
      <c r="A5" s="88">
        <v>44516</v>
      </c>
      <c r="B5" s="117" t="s">
        <v>473</v>
      </c>
      <c r="C5" s="82">
        <v>187276.5</v>
      </c>
      <c r="D5" s="436">
        <f>C5</f>
        <v>187276.5</v>
      </c>
      <c r="E5" s="476">
        <v>183140.66</v>
      </c>
      <c r="F5" s="477">
        <f t="shared" si="0"/>
        <v>-4135.8399999999965</v>
      </c>
      <c r="G5" s="476" t="s">
        <v>704</v>
      </c>
      <c r="H5" s="477" t="str">
        <f t="shared" si="1"/>
        <v>----</v>
      </c>
      <c r="I5" s="489" t="s">
        <v>704</v>
      </c>
      <c r="J5" s="83" t="str">
        <f t="shared" si="2"/>
        <v>----</v>
      </c>
    </row>
    <row r="6" spans="1:10">
      <c r="A6" s="102">
        <v>45097</v>
      </c>
      <c r="B6" s="103" t="s">
        <v>654</v>
      </c>
      <c r="C6" s="87">
        <v>461199</v>
      </c>
      <c r="D6" s="471">
        <f>C6</f>
        <v>461199</v>
      </c>
      <c r="E6" s="478"/>
      <c r="F6" s="490" t="str">
        <f t="shared" si="0"/>
        <v>----</v>
      </c>
      <c r="G6" s="478"/>
      <c r="H6" s="490" t="str">
        <f t="shared" si="1"/>
        <v>----</v>
      </c>
      <c r="I6" s="491"/>
      <c r="J6" s="115" t="str">
        <f t="shared" si="2"/>
        <v>----</v>
      </c>
    </row>
    <row r="7" spans="1:10">
      <c r="A7" s="102">
        <v>45308</v>
      </c>
      <c r="B7" s="103" t="s">
        <v>712</v>
      </c>
      <c r="C7" s="87">
        <v>170847</v>
      </c>
      <c r="D7" s="471">
        <f>C7</f>
        <v>170847</v>
      </c>
      <c r="E7" s="478"/>
      <c r="F7" s="490" t="str">
        <f t="shared" si="0"/>
        <v>----</v>
      </c>
      <c r="G7" s="478"/>
      <c r="H7" s="490" t="str">
        <f t="shared" si="1"/>
        <v>----</v>
      </c>
      <c r="I7" s="491"/>
      <c r="J7" s="115" t="str">
        <f t="shared" si="2"/>
        <v>----</v>
      </c>
    </row>
    <row r="8" spans="1:10">
      <c r="A8" s="102">
        <v>45370</v>
      </c>
      <c r="B8" s="103" t="s">
        <v>731</v>
      </c>
      <c r="C8" s="87">
        <v>176952.5</v>
      </c>
      <c r="D8" s="471">
        <f>C8</f>
        <v>176952.5</v>
      </c>
      <c r="E8" s="478"/>
      <c r="F8" s="490" t="str">
        <f t="shared" si="0"/>
        <v>----</v>
      </c>
      <c r="G8" s="478"/>
      <c r="H8" s="490" t="str">
        <f t="shared" si="1"/>
        <v>----</v>
      </c>
      <c r="I8" s="491"/>
      <c r="J8" s="115" t="str">
        <f t="shared" si="2"/>
        <v>----</v>
      </c>
    </row>
    <row r="9" spans="1:10">
      <c r="A9" s="102"/>
      <c r="B9" s="103"/>
      <c r="C9" s="87"/>
      <c r="D9" s="471"/>
      <c r="E9" s="478"/>
      <c r="F9" s="490" t="str">
        <f t="shared" si="0"/>
        <v>----</v>
      </c>
      <c r="G9" s="478"/>
      <c r="H9" s="490" t="str">
        <f t="shared" si="1"/>
        <v>----</v>
      </c>
      <c r="I9" s="491"/>
      <c r="J9" s="115" t="str">
        <f t="shared" si="2"/>
        <v>----</v>
      </c>
    </row>
    <row r="10" spans="1:10">
      <c r="A10" s="102"/>
      <c r="B10" s="103"/>
      <c r="C10" s="87"/>
      <c r="D10" s="471"/>
      <c r="E10" s="478"/>
      <c r="F10" s="490" t="str">
        <f t="shared" si="0"/>
        <v>----</v>
      </c>
      <c r="G10" s="478"/>
      <c r="H10" s="490" t="str">
        <f t="shared" si="1"/>
        <v>----</v>
      </c>
      <c r="I10" s="491"/>
      <c r="J10" s="115" t="str">
        <f t="shared" si="2"/>
        <v>----</v>
      </c>
    </row>
    <row r="11" spans="1:10">
      <c r="A11" s="102"/>
      <c r="B11" s="103"/>
      <c r="C11" s="87"/>
      <c r="D11" s="471"/>
      <c r="E11" s="478"/>
      <c r="F11" s="490" t="str">
        <f t="shared" si="0"/>
        <v>----</v>
      </c>
      <c r="G11" s="478"/>
      <c r="H11" s="490" t="str">
        <f t="shared" si="1"/>
        <v>----</v>
      </c>
      <c r="I11" s="491"/>
      <c r="J11" s="115" t="str">
        <f t="shared" si="2"/>
        <v>----</v>
      </c>
    </row>
    <row r="12" spans="1:10">
      <c r="A12" s="102"/>
      <c r="B12" s="103"/>
      <c r="C12" s="87"/>
      <c r="D12" s="471"/>
      <c r="E12" s="478"/>
      <c r="F12" s="490" t="str">
        <f t="shared" si="0"/>
        <v>----</v>
      </c>
      <c r="G12" s="478"/>
      <c r="H12" s="490" t="str">
        <f t="shared" si="1"/>
        <v>----</v>
      </c>
      <c r="I12" s="491"/>
      <c r="J12" s="115" t="str">
        <f t="shared" si="2"/>
        <v>----</v>
      </c>
    </row>
    <row r="13" spans="1:10">
      <c r="A13" s="102"/>
      <c r="B13" s="103"/>
      <c r="C13" s="87"/>
      <c r="D13" s="471"/>
      <c r="E13" s="478"/>
      <c r="F13" s="490" t="str">
        <f t="shared" si="0"/>
        <v>----</v>
      </c>
      <c r="G13" s="478"/>
      <c r="H13" s="490" t="str">
        <f t="shared" si="1"/>
        <v>----</v>
      </c>
      <c r="I13" s="491"/>
      <c r="J13" s="115" t="str">
        <f t="shared" si="2"/>
        <v>----</v>
      </c>
    </row>
    <row r="14" spans="1:10">
      <c r="A14" s="102"/>
      <c r="B14" s="103"/>
      <c r="C14" s="87"/>
      <c r="D14" s="471"/>
      <c r="E14" s="478"/>
      <c r="F14" s="490" t="str">
        <f t="shared" si="0"/>
        <v>----</v>
      </c>
      <c r="G14" s="478"/>
      <c r="H14" s="490" t="str">
        <f t="shared" si="1"/>
        <v>----</v>
      </c>
      <c r="I14" s="491"/>
      <c r="J14" s="115" t="str">
        <f t="shared" si="2"/>
        <v>----</v>
      </c>
    </row>
    <row r="15" spans="1:10">
      <c r="A15" s="102"/>
      <c r="B15" s="103"/>
      <c r="C15" s="87"/>
      <c r="D15" s="471"/>
      <c r="E15" s="478"/>
      <c r="F15" s="490" t="str">
        <f t="shared" si="0"/>
        <v>----</v>
      </c>
      <c r="G15" s="478"/>
      <c r="H15" s="490" t="str">
        <f t="shared" si="1"/>
        <v>----</v>
      </c>
      <c r="I15" s="491"/>
      <c r="J15" s="115" t="str">
        <f t="shared" si="2"/>
        <v>----</v>
      </c>
    </row>
    <row r="16" spans="1:10">
      <c r="A16" s="102"/>
      <c r="B16" s="103"/>
      <c r="C16" s="87"/>
      <c r="D16" s="471"/>
      <c r="E16" s="478"/>
      <c r="F16" s="490" t="str">
        <f t="shared" si="0"/>
        <v>----</v>
      </c>
      <c r="G16" s="478"/>
      <c r="H16" s="490" t="str">
        <f t="shared" si="1"/>
        <v>----</v>
      </c>
      <c r="I16" s="491"/>
      <c r="J16" s="115" t="str">
        <f t="shared" si="2"/>
        <v>----</v>
      </c>
    </row>
    <row r="17" spans="1:10">
      <c r="A17" s="102"/>
      <c r="B17" s="103"/>
      <c r="C17" s="87"/>
      <c r="D17" s="471"/>
      <c r="E17" s="478"/>
      <c r="F17" s="490" t="str">
        <f t="shared" si="0"/>
        <v>----</v>
      </c>
      <c r="G17" s="478"/>
      <c r="H17" s="490" t="str">
        <f t="shared" si="1"/>
        <v>----</v>
      </c>
      <c r="I17" s="491"/>
      <c r="J17" s="115" t="str">
        <f t="shared" si="2"/>
        <v>----</v>
      </c>
    </row>
    <row r="18" spans="1:10">
      <c r="A18" s="102"/>
      <c r="B18" s="103"/>
      <c r="C18" s="87"/>
      <c r="D18" s="471"/>
      <c r="E18" s="478"/>
      <c r="F18" s="490" t="str">
        <f t="shared" si="0"/>
        <v>----</v>
      </c>
      <c r="G18" s="478"/>
      <c r="H18" s="490" t="str">
        <f t="shared" si="1"/>
        <v>----</v>
      </c>
      <c r="I18" s="491"/>
      <c r="J18" s="115" t="str">
        <f t="shared" si="2"/>
        <v>----</v>
      </c>
    </row>
    <row r="19" spans="1:10">
      <c r="A19" s="102"/>
      <c r="B19" s="103"/>
      <c r="C19" s="87"/>
      <c r="D19" s="471"/>
      <c r="E19" s="478"/>
      <c r="F19" s="490" t="str">
        <f t="shared" si="0"/>
        <v>----</v>
      </c>
      <c r="G19" s="478"/>
      <c r="H19" s="490" t="str">
        <f t="shared" si="1"/>
        <v>----</v>
      </c>
      <c r="I19" s="491"/>
      <c r="J19" s="115" t="str">
        <f t="shared" si="2"/>
        <v>----</v>
      </c>
    </row>
    <row r="20" spans="1:10">
      <c r="A20" s="102"/>
      <c r="B20" s="103"/>
      <c r="C20" s="87"/>
      <c r="D20" s="471"/>
      <c r="E20" s="478"/>
      <c r="F20" s="490" t="str">
        <f t="shared" si="0"/>
        <v>----</v>
      </c>
      <c r="G20" s="478"/>
      <c r="H20" s="490" t="str">
        <f t="shared" si="1"/>
        <v>----</v>
      </c>
      <c r="I20" s="491"/>
      <c r="J20" s="115" t="str">
        <f t="shared" si="2"/>
        <v>----</v>
      </c>
    </row>
    <row r="21" spans="1:10">
      <c r="A21" s="102"/>
      <c r="B21" s="103"/>
      <c r="C21" s="87"/>
      <c r="D21" s="471"/>
      <c r="E21" s="478"/>
      <c r="F21" s="490" t="str">
        <f t="shared" si="0"/>
        <v>----</v>
      </c>
      <c r="G21" s="478"/>
      <c r="H21" s="490" t="str">
        <f t="shared" si="1"/>
        <v>----</v>
      </c>
      <c r="I21" s="491"/>
      <c r="J21" s="115" t="str">
        <f t="shared" si="2"/>
        <v>----</v>
      </c>
    </row>
    <row r="22" spans="1:10">
      <c r="A22" s="102"/>
      <c r="B22" s="103"/>
      <c r="C22" s="87"/>
      <c r="D22" s="471"/>
      <c r="E22" s="478"/>
      <c r="F22" s="490" t="str">
        <f t="shared" si="0"/>
        <v>----</v>
      </c>
      <c r="G22" s="478"/>
      <c r="H22" s="490" t="str">
        <f t="shared" si="1"/>
        <v>----</v>
      </c>
      <c r="I22" s="491"/>
      <c r="J22" s="115" t="str">
        <f t="shared" si="2"/>
        <v>----</v>
      </c>
    </row>
    <row r="23" spans="1:10">
      <c r="A23" s="102"/>
      <c r="B23" s="103"/>
      <c r="C23" s="87"/>
      <c r="D23" s="471"/>
      <c r="E23" s="478"/>
      <c r="F23" s="490" t="str">
        <f t="shared" si="0"/>
        <v>----</v>
      </c>
      <c r="G23" s="478"/>
      <c r="H23" s="490" t="str">
        <f t="shared" si="1"/>
        <v>----</v>
      </c>
      <c r="I23" s="491"/>
      <c r="J23" s="115" t="str">
        <f t="shared" si="2"/>
        <v>----</v>
      </c>
    </row>
    <row r="24" spans="1:10">
      <c r="A24" s="116"/>
      <c r="B24" s="117"/>
      <c r="C24" s="118"/>
      <c r="D24" s="472"/>
      <c r="E24" s="479"/>
      <c r="F24" s="492" t="str">
        <f t="shared" si="0"/>
        <v>----</v>
      </c>
      <c r="G24" s="479"/>
      <c r="H24" s="492" t="str">
        <f t="shared" si="1"/>
        <v>----</v>
      </c>
      <c r="I24" s="493"/>
      <c r="J24" s="119" t="str">
        <f t="shared" si="2"/>
        <v>----</v>
      </c>
    </row>
    <row r="25" spans="1:10" ht="15.75" thickBot="1">
      <c r="A25" s="74"/>
      <c r="B25" s="75"/>
      <c r="C25" s="76"/>
      <c r="D25" s="435"/>
      <c r="E25" s="480"/>
      <c r="F25" s="481" t="str">
        <f t="shared" si="0"/>
        <v>----</v>
      </c>
      <c r="G25" s="480"/>
      <c r="H25" s="481" t="str">
        <f t="shared" si="1"/>
        <v>----</v>
      </c>
      <c r="I25" s="486"/>
      <c r="J25" s="77" t="str">
        <f t="shared" si="2"/>
        <v>----</v>
      </c>
    </row>
    <row r="26" spans="1:10" ht="15.75" thickBot="1">
      <c r="A26" s="27"/>
      <c r="B26" s="27"/>
      <c r="C26" s="28"/>
      <c r="D26" s="28"/>
      <c r="E26" s="444"/>
      <c r="F26" s="446">
        <f>SUM(F4:F25)</f>
        <v>-4135.8399999999965</v>
      </c>
      <c r="G26" s="444"/>
      <c r="H26" s="446">
        <f>SUM(H4:H25)</f>
        <v>0</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7" bestFit="1" customWidth="1"/>
    <col min="6" max="6" width="11.28515625" style="437" customWidth="1"/>
    <col min="7" max="7" width="12" style="437" bestFit="1" customWidth="1"/>
    <col min="8" max="8" width="11.28515625" style="437" customWidth="1"/>
    <col min="9" max="9" width="12" bestFit="1" customWidth="1"/>
    <col min="10" max="10" width="11.28515625" customWidth="1"/>
  </cols>
  <sheetData>
    <row r="1" spans="1:11" ht="15.75" thickBot="1">
      <c r="A1" s="932" t="s">
        <v>142</v>
      </c>
      <c r="B1" s="933"/>
      <c r="C1" s="933"/>
      <c r="D1" s="933"/>
      <c r="E1" s="933"/>
      <c r="F1" s="933"/>
      <c r="G1" s="933"/>
      <c r="H1" s="933"/>
      <c r="I1" s="933"/>
      <c r="J1" s="934"/>
    </row>
    <row r="2" spans="1:11" s="437" customFormat="1">
      <c r="A2" s="939" t="s">
        <v>110</v>
      </c>
      <c r="B2" s="941" t="s">
        <v>111</v>
      </c>
      <c r="C2" s="941" t="s">
        <v>112</v>
      </c>
      <c r="D2" s="953" t="s">
        <v>120</v>
      </c>
      <c r="E2" s="937" t="s">
        <v>702</v>
      </c>
      <c r="F2" s="938"/>
      <c r="G2" s="937" t="s">
        <v>703</v>
      </c>
      <c r="H2" s="938"/>
      <c r="I2" s="912" t="s">
        <v>801</v>
      </c>
      <c r="J2" s="913"/>
    </row>
    <row r="3" spans="1:11" ht="57.75" thickBot="1">
      <c r="A3" s="940"/>
      <c r="B3" s="942"/>
      <c r="C3" s="942"/>
      <c r="D3" s="954"/>
      <c r="E3" s="465" t="s">
        <v>121</v>
      </c>
      <c r="F3" s="473" t="s">
        <v>113</v>
      </c>
      <c r="G3" s="465" t="s">
        <v>121</v>
      </c>
      <c r="H3" s="473" t="s">
        <v>113</v>
      </c>
      <c r="I3" s="483" t="s">
        <v>121</v>
      </c>
      <c r="J3" s="25" t="s">
        <v>113</v>
      </c>
    </row>
    <row r="4" spans="1:11">
      <c r="A4" s="70">
        <v>43788</v>
      </c>
      <c r="B4" s="71" t="s">
        <v>143</v>
      </c>
      <c r="C4" s="798">
        <v>328326.3</v>
      </c>
      <c r="D4" s="805">
        <v>262661.03999999998</v>
      </c>
      <c r="E4" s="812"/>
      <c r="F4" s="821" t="str">
        <f t="shared" ref="F4:F19" si="0">IF(ISBLANK(E4),"----",E4-D4)</f>
        <v>----</v>
      </c>
      <c r="G4" s="812"/>
      <c r="H4" s="821" t="str">
        <f t="shared" ref="H4:H19" si="1">IF(OR(G4="Complete",ISBLANK(G4)),"----",G4-$D4)</f>
        <v>----</v>
      </c>
      <c r="I4" s="809"/>
      <c r="J4" s="822" t="str">
        <f t="shared" ref="J4:J19" si="2">IF(OR(I4="Complete",ISBLANK(I4)),"----",I4-$D4)</f>
        <v>----</v>
      </c>
    </row>
    <row r="5" spans="1:11">
      <c r="A5" s="127">
        <v>43852</v>
      </c>
      <c r="B5" s="128" t="s">
        <v>487</v>
      </c>
      <c r="C5" s="767">
        <v>1256405</v>
      </c>
      <c r="D5" s="768">
        <f>C5</f>
        <v>1256405</v>
      </c>
      <c r="E5" s="769">
        <v>1301422.8500000001</v>
      </c>
      <c r="F5" s="770">
        <f t="shared" si="0"/>
        <v>45017.850000000093</v>
      </c>
      <c r="G5" s="769" t="s">
        <v>704</v>
      </c>
      <c r="H5" s="770" t="str">
        <f t="shared" si="1"/>
        <v>----</v>
      </c>
      <c r="I5" s="771" t="s">
        <v>704</v>
      </c>
      <c r="J5" s="772" t="str">
        <f t="shared" si="2"/>
        <v>----</v>
      </c>
    </row>
    <row r="6" spans="1:11">
      <c r="A6" s="120">
        <v>44271</v>
      </c>
      <c r="B6" s="121" t="s">
        <v>412</v>
      </c>
      <c r="C6" s="742">
        <v>994507.7</v>
      </c>
      <c r="D6" s="759">
        <f>C6</f>
        <v>994507.7</v>
      </c>
      <c r="E6" s="773">
        <v>992265.24</v>
      </c>
      <c r="F6" s="770">
        <f t="shared" si="0"/>
        <v>-2242.4599999999627</v>
      </c>
      <c r="G6" s="773" t="s">
        <v>704</v>
      </c>
      <c r="H6" s="770" t="str">
        <f t="shared" si="1"/>
        <v>----</v>
      </c>
      <c r="I6" s="774" t="s">
        <v>704</v>
      </c>
      <c r="J6" s="772" t="str">
        <f t="shared" si="2"/>
        <v>----</v>
      </c>
    </row>
    <row r="7" spans="1:11">
      <c r="A7" s="120">
        <v>44551</v>
      </c>
      <c r="B7" s="263" t="s">
        <v>485</v>
      </c>
      <c r="C7" s="742">
        <v>2704940.95</v>
      </c>
      <c r="D7" s="759">
        <v>722742.69</v>
      </c>
      <c r="E7" s="773">
        <v>633219.99</v>
      </c>
      <c r="F7" s="770">
        <f t="shared" si="0"/>
        <v>-89522.699999999953</v>
      </c>
      <c r="G7" s="773" t="s">
        <v>704</v>
      </c>
      <c r="H7" s="770" t="str">
        <f t="shared" si="1"/>
        <v>----</v>
      </c>
      <c r="I7" s="774" t="s">
        <v>704</v>
      </c>
      <c r="J7" s="772" t="str">
        <f t="shared" si="2"/>
        <v>----</v>
      </c>
      <c r="K7" t="s">
        <v>486</v>
      </c>
    </row>
    <row r="8" spans="1:11">
      <c r="A8" s="120">
        <v>44915</v>
      </c>
      <c r="B8" s="121" t="s">
        <v>619</v>
      </c>
      <c r="C8" s="742">
        <v>202838</v>
      </c>
      <c r="D8" s="759">
        <f>C8</f>
        <v>202838</v>
      </c>
      <c r="E8" s="773"/>
      <c r="F8" s="770" t="str">
        <f t="shared" si="0"/>
        <v>----</v>
      </c>
      <c r="G8" s="773">
        <v>195232.56</v>
      </c>
      <c r="H8" s="770">
        <f t="shared" si="1"/>
        <v>-7605.4400000000023</v>
      </c>
      <c r="I8" s="774" t="s">
        <v>704</v>
      </c>
      <c r="J8" s="772" t="str">
        <f t="shared" si="2"/>
        <v>----</v>
      </c>
    </row>
    <row r="9" spans="1:11">
      <c r="A9" s="120">
        <v>44915</v>
      </c>
      <c r="B9" s="121" t="s">
        <v>620</v>
      </c>
      <c r="C9" s="742">
        <v>190736.15</v>
      </c>
      <c r="D9" s="759">
        <f>C9</f>
        <v>190736.15</v>
      </c>
      <c r="E9" s="773"/>
      <c r="F9" s="770" t="str">
        <f t="shared" si="0"/>
        <v>----</v>
      </c>
      <c r="G9" s="773">
        <v>192162.12</v>
      </c>
      <c r="H9" s="770">
        <f t="shared" si="1"/>
        <v>1425.9700000000012</v>
      </c>
      <c r="I9" s="774" t="s">
        <v>704</v>
      </c>
      <c r="J9" s="772" t="str">
        <f t="shared" si="2"/>
        <v>----</v>
      </c>
    </row>
    <row r="10" spans="1:11">
      <c r="A10" s="120">
        <v>44915</v>
      </c>
      <c r="B10" s="121" t="s">
        <v>621</v>
      </c>
      <c r="C10" s="742">
        <v>303923.34999999998</v>
      </c>
      <c r="D10" s="759">
        <f>C10</f>
        <v>303923.34999999998</v>
      </c>
      <c r="E10" s="773"/>
      <c r="F10" s="770" t="str">
        <f t="shared" si="0"/>
        <v>----</v>
      </c>
      <c r="G10" s="773">
        <v>307043.15000000002</v>
      </c>
      <c r="H10" s="770">
        <f t="shared" si="1"/>
        <v>3119.8000000000466</v>
      </c>
      <c r="I10" s="774" t="s">
        <v>704</v>
      </c>
      <c r="J10" s="772" t="str">
        <f t="shared" si="2"/>
        <v>----</v>
      </c>
    </row>
    <row r="11" spans="1:11">
      <c r="A11" s="120">
        <v>45398</v>
      </c>
      <c r="B11" s="121" t="s">
        <v>744</v>
      </c>
      <c r="C11" s="742">
        <v>711589.89</v>
      </c>
      <c r="D11" s="759">
        <f>C11</f>
        <v>711589.89</v>
      </c>
      <c r="E11" s="773"/>
      <c r="F11" s="770" t="str">
        <f t="shared" si="0"/>
        <v>----</v>
      </c>
      <c r="G11" s="773"/>
      <c r="H11" s="770" t="str">
        <f t="shared" si="1"/>
        <v>----</v>
      </c>
      <c r="I11" s="774"/>
      <c r="J11" s="772" t="str">
        <f t="shared" si="2"/>
        <v>----</v>
      </c>
    </row>
    <row r="12" spans="1:11">
      <c r="A12" s="970">
        <v>45734</v>
      </c>
      <c r="B12" s="971" t="s">
        <v>867</v>
      </c>
      <c r="C12" s="972">
        <v>451974.8</v>
      </c>
      <c r="D12" s="973">
        <v>0</v>
      </c>
      <c r="E12" s="974"/>
      <c r="F12" s="975" t="str">
        <f t="shared" si="0"/>
        <v>----</v>
      </c>
      <c r="G12" s="974"/>
      <c r="H12" s="975" t="str">
        <f t="shared" si="1"/>
        <v>----</v>
      </c>
      <c r="I12" s="976"/>
      <c r="J12" s="977" t="str">
        <f t="shared" si="2"/>
        <v>----</v>
      </c>
      <c r="K12" s="978" t="s">
        <v>870</v>
      </c>
    </row>
    <row r="13" spans="1:11">
      <c r="A13" s="120"/>
      <c r="B13" s="121"/>
      <c r="C13" s="742"/>
      <c r="D13" s="759"/>
      <c r="E13" s="773"/>
      <c r="F13" s="770" t="str">
        <f t="shared" si="0"/>
        <v>----</v>
      </c>
      <c r="G13" s="773"/>
      <c r="H13" s="770" t="str">
        <f t="shared" si="1"/>
        <v>----</v>
      </c>
      <c r="I13" s="774"/>
      <c r="J13" s="772" t="str">
        <f t="shared" si="2"/>
        <v>----</v>
      </c>
    </row>
    <row r="14" spans="1:11">
      <c r="A14" s="120"/>
      <c r="B14" s="121"/>
      <c r="C14" s="742"/>
      <c r="D14" s="759"/>
      <c r="E14" s="773"/>
      <c r="F14" s="770" t="str">
        <f t="shared" si="0"/>
        <v>----</v>
      </c>
      <c r="G14" s="773"/>
      <c r="H14" s="770" t="str">
        <f t="shared" si="1"/>
        <v>----</v>
      </c>
      <c r="I14" s="774"/>
      <c r="J14" s="772" t="str">
        <f t="shared" si="2"/>
        <v>----</v>
      </c>
    </row>
    <row r="15" spans="1:11">
      <c r="A15" s="120"/>
      <c r="B15" s="121"/>
      <c r="C15" s="742"/>
      <c r="D15" s="759"/>
      <c r="E15" s="773"/>
      <c r="F15" s="770" t="str">
        <f t="shared" si="0"/>
        <v>----</v>
      </c>
      <c r="G15" s="773"/>
      <c r="H15" s="770" t="str">
        <f t="shared" si="1"/>
        <v>----</v>
      </c>
      <c r="I15" s="774"/>
      <c r="J15" s="772" t="str">
        <f t="shared" si="2"/>
        <v>----</v>
      </c>
    </row>
    <row r="16" spans="1:11">
      <c r="A16" s="120"/>
      <c r="B16" s="121"/>
      <c r="C16" s="742"/>
      <c r="D16" s="759"/>
      <c r="E16" s="773"/>
      <c r="F16" s="770" t="str">
        <f t="shared" si="0"/>
        <v>----</v>
      </c>
      <c r="G16" s="773"/>
      <c r="H16" s="770" t="str">
        <f t="shared" si="1"/>
        <v>----</v>
      </c>
      <c r="I16" s="774"/>
      <c r="J16" s="772" t="str">
        <f t="shared" si="2"/>
        <v>----</v>
      </c>
    </row>
    <row r="17" spans="1:10">
      <c r="A17" s="120"/>
      <c r="B17" s="121"/>
      <c r="C17" s="742"/>
      <c r="D17" s="759"/>
      <c r="E17" s="773"/>
      <c r="F17" s="770" t="str">
        <f t="shared" si="0"/>
        <v>----</v>
      </c>
      <c r="G17" s="773"/>
      <c r="H17" s="770" t="str">
        <f t="shared" si="1"/>
        <v>----</v>
      </c>
      <c r="I17" s="774"/>
      <c r="J17" s="772" t="str">
        <f t="shared" si="2"/>
        <v>----</v>
      </c>
    </row>
    <row r="18" spans="1:10">
      <c r="A18" s="123"/>
      <c r="B18" s="124"/>
      <c r="C18" s="743"/>
      <c r="D18" s="760"/>
      <c r="E18" s="781"/>
      <c r="F18" s="770" t="str">
        <f t="shared" si="0"/>
        <v>----</v>
      </c>
      <c r="G18" s="781"/>
      <c r="H18" s="770" t="str">
        <f t="shared" si="1"/>
        <v>----</v>
      </c>
      <c r="I18" s="782"/>
      <c r="J18" s="772" t="str">
        <f t="shared" si="2"/>
        <v>----</v>
      </c>
    </row>
    <row r="19" spans="1:10" ht="15.75" thickBot="1">
      <c r="A19" s="74"/>
      <c r="B19" s="75"/>
      <c r="C19" s="800"/>
      <c r="D19" s="808"/>
      <c r="E19" s="814"/>
      <c r="F19" s="819" t="str">
        <f t="shared" si="0"/>
        <v>----</v>
      </c>
      <c r="G19" s="814"/>
      <c r="H19" s="819" t="str">
        <f t="shared" si="1"/>
        <v>----</v>
      </c>
      <c r="I19" s="811"/>
      <c r="J19" s="820" t="str">
        <f t="shared" si="2"/>
        <v>----</v>
      </c>
    </row>
    <row r="20" spans="1:10" ht="15.75" thickBot="1">
      <c r="A20" s="27"/>
      <c r="B20" s="27"/>
      <c r="C20" s="832"/>
      <c r="D20" s="832"/>
      <c r="E20" s="832"/>
      <c r="F20" s="833">
        <f>SUM(F4:F19)</f>
        <v>-46747.309999999823</v>
      </c>
      <c r="G20" s="832"/>
      <c r="H20" s="833">
        <f>SUM(H4:H19)</f>
        <v>-3059.6699999999546</v>
      </c>
      <c r="I20" s="832"/>
      <c r="J20" s="833">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2025-03-24T15:18:09Z</dcterms:modified>
</cp:coreProperties>
</file>