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W:\Highway\Materials\PCC\Field and Lab Reports\To Update\"/>
    </mc:Choice>
  </mc:AlternateContent>
  <xr:revisionPtr revIDLastSave="0" documentId="13_ncr:1_{88830538-E514-4A48-B237-9F69B8ADD22F}" xr6:coauthVersionLast="44" xr6:coauthVersionMax="44" xr10:uidLastSave="{00000000-0000-0000-0000-000000000000}"/>
  <bookViews>
    <workbookView xWindow="3045" yWindow="1200" windowWidth="21600" windowHeight="11385" tabRatio="759" xr2:uid="{00000000-000D-0000-FFFF-FFFF00000000}"/>
  </bookViews>
  <sheets>
    <sheet name="Proj Info" sheetId="1" r:id="rId1"/>
    <sheet name="Mix Info" sheetId="17" r:id="rId2"/>
    <sheet name="Grad 1" sheetId="3" r:id="rId3"/>
    <sheet name="Grad 2" sheetId="4" r:id="rId4"/>
    <sheet name="Grad 3" sheetId="5" r:id="rId5"/>
    <sheet name="Grad 4" sheetId="15" r:id="rId6"/>
    <sheet name="Grad 5" sheetId="16" r:id="rId7"/>
    <sheet name="Gradation Report" sheetId="7" r:id="rId8"/>
    <sheet name="Gradation" sheetId="19" state="hidden" r:id="rId9"/>
    <sheet name="CW" sheetId="21" r:id="rId10"/>
  </sheets>
  <definedNames>
    <definedName name="Mixes">#REF!</definedName>
    <definedName name="_xlnm.Print_Area" localSheetId="2">'Grad 1'!$A$1:$J$52</definedName>
    <definedName name="_xlnm.Print_Area" localSheetId="3">'Grad 2'!$A$1:$J$52</definedName>
    <definedName name="_xlnm.Print_Area" localSheetId="4">'Grad 3'!$A$1:$J$52</definedName>
    <definedName name="_xlnm.Print_Area" localSheetId="5">'Grad 4'!$A$1:$J$52</definedName>
    <definedName name="_xlnm.Print_Area" localSheetId="6">'Grad 5'!$A$1:$J$52</definedName>
    <definedName name="_xlnm.Print_Area" localSheetId="7">'Gradation Report'!$A$1:$Q$62</definedName>
    <definedName name="_xlnm.Print_Area" localSheetId="0">'Proj Info'!$A$1:$D$54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9" i="7" l="1"/>
  <c r="O28" i="7"/>
  <c r="O27" i="7"/>
  <c r="O26" i="7"/>
  <c r="O25" i="7"/>
  <c r="J5" i="5"/>
  <c r="J6" i="5"/>
  <c r="J7" i="5"/>
  <c r="J8" i="5"/>
  <c r="J9" i="5"/>
  <c r="J10" i="5"/>
  <c r="J11" i="5"/>
  <c r="B46" i="1" l="1"/>
  <c r="B45" i="1"/>
  <c r="B44" i="1"/>
  <c r="B43" i="1"/>
  <c r="B42" i="1"/>
  <c r="B41" i="1"/>
  <c r="J27" i="16" l="1"/>
  <c r="J27" i="15"/>
  <c r="J27" i="5"/>
  <c r="J27" i="4"/>
  <c r="J27" i="3"/>
  <c r="L24" i="7"/>
  <c r="J28" i="16"/>
  <c r="J28" i="15"/>
  <c r="J28" i="5"/>
  <c r="J28" i="4"/>
  <c r="J28" i="3"/>
  <c r="M24" i="7"/>
  <c r="I24" i="7"/>
  <c r="J24" i="4"/>
  <c r="J24" i="3"/>
  <c r="J24" i="16"/>
  <c r="J24" i="15"/>
  <c r="J24" i="5"/>
  <c r="J25" i="4"/>
  <c r="J25" i="3"/>
  <c r="J25" i="15"/>
  <c r="J25" i="5"/>
  <c r="J25" i="16"/>
  <c r="J24" i="7"/>
  <c r="J31" i="16"/>
  <c r="J31" i="15"/>
  <c r="J31" i="5"/>
  <c r="J31" i="4"/>
  <c r="J31" i="3"/>
  <c r="N24" i="7"/>
  <c r="J26" i="16"/>
  <c r="J26" i="15"/>
  <c r="J26" i="5"/>
  <c r="J26" i="4"/>
  <c r="J26" i="3"/>
  <c r="K24" i="7"/>
  <c r="G4" i="17"/>
  <c r="O53" i="7"/>
  <c r="N53" i="7"/>
  <c r="O52" i="7"/>
  <c r="N52" i="7"/>
  <c r="O51" i="7"/>
  <c r="N51" i="7"/>
  <c r="O50" i="7"/>
  <c r="N50" i="7"/>
  <c r="C39" i="7"/>
  <c r="C38" i="7"/>
  <c r="C37" i="7"/>
  <c r="C29" i="7"/>
  <c r="C28" i="7"/>
  <c r="C27" i="7"/>
  <c r="C19" i="7"/>
  <c r="C18" i="7"/>
  <c r="C17" i="7"/>
  <c r="Y32" i="16"/>
  <c r="Y32" i="15"/>
  <c r="Y32" i="5"/>
  <c r="Y32" i="4"/>
  <c r="Y32" i="3"/>
  <c r="D39" i="7"/>
  <c r="D38" i="7"/>
  <c r="D37" i="7"/>
  <c r="D36" i="7"/>
  <c r="D35" i="7"/>
  <c r="D29" i="7"/>
  <c r="D28" i="7"/>
  <c r="D27" i="7"/>
  <c r="D26" i="7"/>
  <c r="D25" i="7"/>
  <c r="D19" i="7"/>
  <c r="D18" i="7"/>
  <c r="D17" i="7"/>
  <c r="D16" i="7"/>
  <c r="D15" i="7"/>
  <c r="Z30" i="3"/>
  <c r="Z30" i="4" s="1"/>
  <c r="AB30" i="4" s="1"/>
  <c r="AE30" i="4" s="1"/>
  <c r="B39" i="7"/>
  <c r="B38" i="7"/>
  <c r="B37" i="7"/>
  <c r="B36" i="7"/>
  <c r="A39" i="7"/>
  <c r="A38" i="7"/>
  <c r="A37" i="7"/>
  <c r="A36" i="7"/>
  <c r="B29" i="7"/>
  <c r="B28" i="7"/>
  <c r="B27" i="7"/>
  <c r="A29" i="7"/>
  <c r="A28" i="7"/>
  <c r="A27" i="7"/>
  <c r="B26" i="7"/>
  <c r="A26" i="7"/>
  <c r="B25" i="7"/>
  <c r="B19" i="7"/>
  <c r="B18" i="7"/>
  <c r="B17" i="7"/>
  <c r="A19" i="7"/>
  <c r="A18" i="7"/>
  <c r="A17" i="7"/>
  <c r="B16" i="7"/>
  <c r="A16" i="7"/>
  <c r="B15" i="7"/>
  <c r="C6" i="17"/>
  <c r="B6" i="17"/>
  <c r="C5" i="17"/>
  <c r="B5" i="17"/>
  <c r="C4" i="17"/>
  <c r="B4" i="17"/>
  <c r="G8" i="7"/>
  <c r="G47" i="7" s="1"/>
  <c r="N55" i="7"/>
  <c r="O55" i="7"/>
  <c r="B39" i="19"/>
  <c r="B30" i="19"/>
  <c r="B29" i="19"/>
  <c r="C20" i="19"/>
  <c r="C19" i="19"/>
  <c r="C18" i="19"/>
  <c r="C17" i="19"/>
  <c r="C16" i="19"/>
  <c r="C15" i="19"/>
  <c r="C14" i="19"/>
  <c r="C13" i="19"/>
  <c r="E11" i="17"/>
  <c r="C16" i="7"/>
  <c r="B40" i="1"/>
  <c r="J14" i="5" s="1"/>
  <c r="B51" i="1"/>
  <c r="J49" i="16" s="1"/>
  <c r="B50" i="1"/>
  <c r="J46" i="16" s="1"/>
  <c r="B49" i="1"/>
  <c r="B48" i="1"/>
  <c r="J43" i="3" s="1"/>
  <c r="B47" i="1"/>
  <c r="J42" i="15"/>
  <c r="B39" i="1"/>
  <c r="B38" i="1"/>
  <c r="J10" i="16" s="1"/>
  <c r="B37" i="1"/>
  <c r="K14" i="7" s="1"/>
  <c r="B36" i="1"/>
  <c r="J8" i="16" s="1"/>
  <c r="B35" i="1"/>
  <c r="I14" i="7" s="1"/>
  <c r="B34" i="1"/>
  <c r="B33" i="1"/>
  <c r="J5" i="4" s="1"/>
  <c r="Z23" i="3"/>
  <c r="Z23" i="5" s="1"/>
  <c r="X25" i="16"/>
  <c r="Y25" i="16" s="1"/>
  <c r="Y33" i="16" s="1"/>
  <c r="X25" i="15"/>
  <c r="Y25" i="15" s="1"/>
  <c r="Y33" i="15" s="1"/>
  <c r="X25" i="5"/>
  <c r="Y25" i="5" s="1"/>
  <c r="Y33" i="5"/>
  <c r="X25" i="4"/>
  <c r="Y25" i="4" s="1"/>
  <c r="Y33" i="4" s="1"/>
  <c r="X19" i="16"/>
  <c r="Y19" i="16" s="1"/>
  <c r="X19" i="15"/>
  <c r="Y19" i="15"/>
  <c r="X19" i="5"/>
  <c r="Y19" i="5" s="1"/>
  <c r="X19" i="4"/>
  <c r="Y19" i="4" s="1"/>
  <c r="P55" i="7"/>
  <c r="E34" i="17"/>
  <c r="E33" i="17"/>
  <c r="E25" i="7"/>
  <c r="E32" i="17"/>
  <c r="B9" i="7"/>
  <c r="B8" i="7"/>
  <c r="B7" i="7"/>
  <c r="D51" i="5"/>
  <c r="E39" i="5"/>
  <c r="D40" i="5" s="1"/>
  <c r="D29" i="5"/>
  <c r="H22" i="5" s="1"/>
  <c r="E21" i="5"/>
  <c r="D22" i="5" s="1"/>
  <c r="D12" i="5"/>
  <c r="D51" i="15"/>
  <c r="E39" i="15" s="1"/>
  <c r="D40" i="15" s="1"/>
  <c r="D29" i="15"/>
  <c r="E21" i="15"/>
  <c r="D22" i="15" s="1"/>
  <c r="D12" i="15"/>
  <c r="H5" i="15" s="1"/>
  <c r="H6" i="15" s="1"/>
  <c r="H7" i="15" s="1"/>
  <c r="D12" i="3"/>
  <c r="D29" i="3"/>
  <c r="H22" i="3" s="1"/>
  <c r="H23" i="3" s="1"/>
  <c r="I23" i="3" s="1"/>
  <c r="H25" i="7" s="1"/>
  <c r="M12" i="3"/>
  <c r="M5" i="3"/>
  <c r="M6" i="3"/>
  <c r="M7" i="3"/>
  <c r="M8" i="3"/>
  <c r="M9" i="3"/>
  <c r="M10" i="3"/>
  <c r="M11" i="3"/>
  <c r="B51" i="3"/>
  <c r="D51" i="3"/>
  <c r="E39" i="3" s="1"/>
  <c r="D40" i="3" s="1"/>
  <c r="M50" i="3"/>
  <c r="M42" i="3"/>
  <c r="M43" i="3"/>
  <c r="K47" i="3" s="1"/>
  <c r="M44" i="3"/>
  <c r="M45" i="3"/>
  <c r="M46" i="3"/>
  <c r="M47" i="3"/>
  <c r="M48" i="3"/>
  <c r="M49" i="3"/>
  <c r="M41" i="3"/>
  <c r="N41" i="3" s="1"/>
  <c r="B17" i="15"/>
  <c r="I14" i="15" s="1"/>
  <c r="B34" i="15"/>
  <c r="I31" i="15" s="1"/>
  <c r="B17" i="5"/>
  <c r="I14" i="5" s="1"/>
  <c r="B34" i="5"/>
  <c r="I31" i="5"/>
  <c r="V30" i="5" s="1"/>
  <c r="D51" i="16"/>
  <c r="H41" i="16" s="1"/>
  <c r="E39" i="16"/>
  <c r="D40" i="16" s="1"/>
  <c r="H41" i="5"/>
  <c r="I41" i="5"/>
  <c r="W22" i="5" s="1"/>
  <c r="D51" i="4"/>
  <c r="H41" i="4"/>
  <c r="B34" i="4"/>
  <c r="I31" i="4"/>
  <c r="N26" i="7" s="1"/>
  <c r="B17" i="4"/>
  <c r="I14" i="4" s="1"/>
  <c r="N16" i="7" s="1"/>
  <c r="B34" i="16"/>
  <c r="I31" i="16" s="1"/>
  <c r="N29" i="7" s="1"/>
  <c r="B17" i="16"/>
  <c r="I14" i="16" s="1"/>
  <c r="U30" i="16" s="1"/>
  <c r="D29" i="16"/>
  <c r="H22" i="16" s="1"/>
  <c r="H22" i="15"/>
  <c r="H23" i="15" s="1"/>
  <c r="I22" i="15"/>
  <c r="D29" i="4"/>
  <c r="H22" i="4" s="1"/>
  <c r="I22" i="4" s="1"/>
  <c r="E39" i="4"/>
  <c r="D40" i="4" s="1"/>
  <c r="D12" i="4"/>
  <c r="D12" i="16"/>
  <c r="E4" i="16" s="1"/>
  <c r="D5" i="16" s="1"/>
  <c r="B34" i="3"/>
  <c r="I31" i="3"/>
  <c r="B17" i="3"/>
  <c r="I14" i="3"/>
  <c r="N15" i="7" s="1"/>
  <c r="B2" i="3"/>
  <c r="X23" i="16"/>
  <c r="Y23" i="16" s="1"/>
  <c r="X22" i="15"/>
  <c r="Y22" i="15"/>
  <c r="X21" i="5"/>
  <c r="Y21" i="5" s="1"/>
  <c r="X20" i="4"/>
  <c r="Y20" i="4"/>
  <c r="Z19" i="3"/>
  <c r="Z20" i="3"/>
  <c r="X20" i="16"/>
  <c r="Y20" i="16" s="1"/>
  <c r="Z21" i="3"/>
  <c r="Z21" i="15" s="1"/>
  <c r="X21" i="16"/>
  <c r="Y21" i="16"/>
  <c r="Z22" i="3"/>
  <c r="Z22" i="16" s="1"/>
  <c r="X22" i="16"/>
  <c r="Y22" i="16" s="1"/>
  <c r="Z23" i="16"/>
  <c r="AB23" i="16" s="1"/>
  <c r="Z24" i="3"/>
  <c r="Z24" i="16" s="1"/>
  <c r="AA24" i="16" s="1"/>
  <c r="X24" i="16"/>
  <c r="Y24" i="16"/>
  <c r="Z25" i="3"/>
  <c r="AB25" i="3" s="1"/>
  <c r="Z25" i="4"/>
  <c r="Z26" i="3"/>
  <c r="AA26" i="3" s="1"/>
  <c r="X26" i="16"/>
  <c r="Z27" i="3"/>
  <c r="AA27" i="3" s="1"/>
  <c r="X27" i="16"/>
  <c r="Y27" i="16" s="1"/>
  <c r="Z28" i="3"/>
  <c r="Z28" i="5" s="1"/>
  <c r="X28" i="16"/>
  <c r="Y28" i="16" s="1"/>
  <c r="Z29" i="3"/>
  <c r="Z29" i="16" s="1"/>
  <c r="AB29" i="16" s="1"/>
  <c r="X29" i="16"/>
  <c r="Y29" i="16" s="1"/>
  <c r="X30" i="16"/>
  <c r="Y30" i="16" s="1"/>
  <c r="X20" i="15"/>
  <c r="Y20" i="15" s="1"/>
  <c r="X21" i="15"/>
  <c r="Y21" i="15" s="1"/>
  <c r="Z23" i="15"/>
  <c r="AB23" i="15" s="1"/>
  <c r="AA23" i="15"/>
  <c r="X23" i="15"/>
  <c r="Y23" i="15"/>
  <c r="X24" i="15"/>
  <c r="Y24" i="15" s="1"/>
  <c r="X26" i="15"/>
  <c r="Y26" i="15"/>
  <c r="X27" i="15"/>
  <c r="Y27" i="15" s="1"/>
  <c r="X28" i="15"/>
  <c r="Y28" i="15" s="1"/>
  <c r="X29" i="15"/>
  <c r="Y29" i="15" s="1"/>
  <c r="X30" i="15"/>
  <c r="Y30" i="15"/>
  <c r="X20" i="5"/>
  <c r="Y20" i="5" s="1"/>
  <c r="X22" i="5"/>
  <c r="Y22" i="5" s="1"/>
  <c r="X23" i="5"/>
  <c r="Y23" i="5" s="1"/>
  <c r="X24" i="5"/>
  <c r="Y24" i="5"/>
  <c r="X26" i="5"/>
  <c r="Y26" i="5"/>
  <c r="X27" i="5"/>
  <c r="Y27" i="5" s="1"/>
  <c r="X28" i="5"/>
  <c r="Y28" i="5" s="1"/>
  <c r="X29" i="5"/>
  <c r="Y29" i="5"/>
  <c r="X30" i="5"/>
  <c r="Y30" i="5"/>
  <c r="X21" i="4"/>
  <c r="Y21" i="4" s="1"/>
  <c r="X22" i="4"/>
  <c r="Y22" i="4" s="1"/>
  <c r="X23" i="4"/>
  <c r="X24" i="4"/>
  <c r="Y24" i="4" s="1"/>
  <c r="X26" i="4"/>
  <c r="Y26" i="4" s="1"/>
  <c r="X27" i="4"/>
  <c r="Y27" i="4" s="1"/>
  <c r="X28" i="4"/>
  <c r="Y28" i="4" s="1"/>
  <c r="X29" i="4"/>
  <c r="Y29" i="4" s="1"/>
  <c r="X30" i="4"/>
  <c r="Y30" i="4" s="1"/>
  <c r="Y7" i="16"/>
  <c r="Y6" i="16"/>
  <c r="Y5" i="16"/>
  <c r="Y5" i="4"/>
  <c r="D35" i="17"/>
  <c r="D14" i="17"/>
  <c r="M50" i="5"/>
  <c r="M42" i="5"/>
  <c r="M43" i="5"/>
  <c r="M44" i="5"/>
  <c r="M45" i="5"/>
  <c r="M46" i="5"/>
  <c r="M47" i="5"/>
  <c r="M48" i="5"/>
  <c r="M49" i="5"/>
  <c r="M41" i="5"/>
  <c r="M23" i="5"/>
  <c r="M22" i="5"/>
  <c r="M24" i="5"/>
  <c r="M25" i="5"/>
  <c r="M26" i="5"/>
  <c r="M27" i="5"/>
  <c r="M28" i="5"/>
  <c r="M29" i="5"/>
  <c r="M12" i="5"/>
  <c r="M5" i="5"/>
  <c r="K7" i="5" s="1"/>
  <c r="M6" i="5"/>
  <c r="M7" i="5"/>
  <c r="M8" i="5"/>
  <c r="M9" i="5"/>
  <c r="M10" i="5"/>
  <c r="M11" i="5"/>
  <c r="M50" i="4"/>
  <c r="M42" i="4"/>
  <c r="M43" i="4"/>
  <c r="M44" i="4"/>
  <c r="M45" i="4"/>
  <c r="M46" i="4"/>
  <c r="M47" i="4"/>
  <c r="M48" i="4"/>
  <c r="M49" i="4"/>
  <c r="M41" i="4"/>
  <c r="N41" i="4" s="1"/>
  <c r="M23" i="4"/>
  <c r="M22" i="4"/>
  <c r="M24" i="4"/>
  <c r="M25" i="4"/>
  <c r="M26" i="4"/>
  <c r="M27" i="4"/>
  <c r="M28" i="4"/>
  <c r="M29" i="4"/>
  <c r="M12" i="4"/>
  <c r="M5" i="4"/>
  <c r="M6" i="4"/>
  <c r="M7" i="4"/>
  <c r="M8" i="4"/>
  <c r="M9" i="4"/>
  <c r="M10" i="4"/>
  <c r="M11" i="4"/>
  <c r="D7" i="17"/>
  <c r="M23" i="3"/>
  <c r="M22" i="3"/>
  <c r="M24" i="3"/>
  <c r="M25" i="3"/>
  <c r="M26" i="3"/>
  <c r="M27" i="3"/>
  <c r="M28" i="3"/>
  <c r="M29" i="3"/>
  <c r="P39" i="7"/>
  <c r="P38" i="7"/>
  <c r="E39" i="7"/>
  <c r="E38" i="7"/>
  <c r="E29" i="7"/>
  <c r="E28" i="7"/>
  <c r="E19" i="7"/>
  <c r="E18" i="7"/>
  <c r="O19" i="7"/>
  <c r="O18" i="7"/>
  <c r="B2" i="16"/>
  <c r="M12" i="16"/>
  <c r="M5" i="16"/>
  <c r="M6" i="16"/>
  <c r="M7" i="16"/>
  <c r="M8" i="16"/>
  <c r="M9" i="16"/>
  <c r="M10" i="16"/>
  <c r="M11" i="16"/>
  <c r="B16" i="16"/>
  <c r="M22" i="16"/>
  <c r="M23" i="16"/>
  <c r="M24" i="16"/>
  <c r="M25" i="16"/>
  <c r="M26" i="16"/>
  <c r="M27" i="16"/>
  <c r="M28" i="16"/>
  <c r="M29" i="16"/>
  <c r="B33" i="16"/>
  <c r="M50" i="16"/>
  <c r="M42" i="16"/>
  <c r="M43" i="16"/>
  <c r="M44" i="16"/>
  <c r="M45" i="16"/>
  <c r="K45" i="16" s="1"/>
  <c r="M46" i="16"/>
  <c r="M47" i="16"/>
  <c r="M48" i="16"/>
  <c r="M49" i="16"/>
  <c r="M41" i="16"/>
  <c r="N41" i="16"/>
  <c r="B51" i="16"/>
  <c r="B2" i="15"/>
  <c r="M12" i="15"/>
  <c r="M5" i="15"/>
  <c r="M6" i="15"/>
  <c r="M7" i="15"/>
  <c r="M8" i="15"/>
  <c r="M9" i="15"/>
  <c r="M10" i="15"/>
  <c r="M11" i="15"/>
  <c r="J7" i="15"/>
  <c r="J9" i="15"/>
  <c r="B16" i="15"/>
  <c r="M22" i="15"/>
  <c r="M23" i="15"/>
  <c r="M24" i="15"/>
  <c r="K22" i="15" s="1"/>
  <c r="M25" i="15"/>
  <c r="M26" i="15"/>
  <c r="M27" i="15"/>
  <c r="M28" i="15"/>
  <c r="M29" i="15"/>
  <c r="B33" i="15"/>
  <c r="M50" i="15"/>
  <c r="M42" i="15"/>
  <c r="M43" i="15"/>
  <c r="M44" i="15"/>
  <c r="M45" i="15"/>
  <c r="M46" i="15"/>
  <c r="M47" i="15"/>
  <c r="M48" i="15"/>
  <c r="M49" i="15"/>
  <c r="M41" i="15"/>
  <c r="N41" i="15"/>
  <c r="J49" i="15"/>
  <c r="B51" i="15"/>
  <c r="B2" i="5"/>
  <c r="B2" i="4"/>
  <c r="B16" i="3"/>
  <c r="AA11" i="7"/>
  <c r="AA12" i="7"/>
  <c r="B33" i="3"/>
  <c r="B51" i="4"/>
  <c r="B33" i="4"/>
  <c r="B16" i="4"/>
  <c r="B51" i="5"/>
  <c r="B33" i="5"/>
  <c r="B16" i="5"/>
  <c r="J49" i="5"/>
  <c r="A35" i="7"/>
  <c r="A25" i="7"/>
  <c r="A15" i="7"/>
  <c r="B35" i="7"/>
  <c r="L9" i="7"/>
  <c r="F13" i="7"/>
  <c r="F33" i="7"/>
  <c r="E15" i="7"/>
  <c r="O15" i="7"/>
  <c r="E16" i="7"/>
  <c r="O16" i="7"/>
  <c r="E17" i="7"/>
  <c r="O17" i="7"/>
  <c r="E26" i="7"/>
  <c r="E27" i="7"/>
  <c r="O34" i="7"/>
  <c r="E35" i="7"/>
  <c r="P35" i="7"/>
  <c r="E36" i="7"/>
  <c r="P36" i="7"/>
  <c r="E37" i="7"/>
  <c r="P37" i="7"/>
  <c r="B6" i="7"/>
  <c r="G6" i="7"/>
  <c r="L6" i="7"/>
  <c r="O6" i="7"/>
  <c r="Q6" i="7"/>
  <c r="G10" i="7"/>
  <c r="G7" i="7"/>
  <c r="L7" i="7"/>
  <c r="O7" i="7"/>
  <c r="Q7" i="7"/>
  <c r="B10" i="7"/>
  <c r="L8" i="7"/>
  <c r="Q8" i="7"/>
  <c r="Q9" i="7"/>
  <c r="K61" i="7"/>
  <c r="P61" i="7"/>
  <c r="Y5" i="3"/>
  <c r="E4" i="17"/>
  <c r="C15" i="7"/>
  <c r="E18" i="17"/>
  <c r="X30" i="3"/>
  <c r="Y30" i="3" s="1"/>
  <c r="D21" i="17"/>
  <c r="Y5" i="5"/>
  <c r="X20" i="3"/>
  <c r="Y20" i="3" s="1"/>
  <c r="X21" i="3"/>
  <c r="Y21" i="3" s="1"/>
  <c r="X22" i="3"/>
  <c r="Y22" i="3" s="1"/>
  <c r="X23" i="3"/>
  <c r="Y23" i="3" s="1"/>
  <c r="X24" i="3"/>
  <c r="Y24" i="3"/>
  <c r="X25" i="3"/>
  <c r="Y25" i="3" s="1"/>
  <c r="Y33" i="3" s="1"/>
  <c r="X26" i="3"/>
  <c r="Y26" i="3" s="1"/>
  <c r="X27" i="3"/>
  <c r="Y27" i="3"/>
  <c r="X29" i="3"/>
  <c r="Y29" i="3"/>
  <c r="X28" i="3"/>
  <c r="Y28" i="3" s="1"/>
  <c r="Z26" i="5"/>
  <c r="AB26" i="5" s="1"/>
  <c r="X19" i="3"/>
  <c r="Y19" i="3" s="1"/>
  <c r="Y6" i="4"/>
  <c r="E12" i="17"/>
  <c r="C26" i="7"/>
  <c r="E19" i="17"/>
  <c r="Y6" i="5"/>
  <c r="E27" i="17"/>
  <c r="Y7" i="15"/>
  <c r="E5" i="17"/>
  <c r="C25" i="7"/>
  <c r="Y6" i="3"/>
  <c r="E20" i="17"/>
  <c r="D28" i="17"/>
  <c r="E26" i="17"/>
  <c r="Y6" i="15"/>
  <c r="E13" i="17"/>
  <c r="C36" i="7"/>
  <c r="Y7" i="4"/>
  <c r="E25" i="17"/>
  <c r="Y7" i="3"/>
  <c r="E6" i="17"/>
  <c r="C35" i="7"/>
  <c r="Y5" i="15"/>
  <c r="Y7" i="5"/>
  <c r="K44" i="4"/>
  <c r="J9" i="16"/>
  <c r="Z26" i="15"/>
  <c r="AB26" i="15" s="1"/>
  <c r="H42" i="5"/>
  <c r="I42" i="5" s="1"/>
  <c r="H37" i="7" s="1"/>
  <c r="H5" i="16"/>
  <c r="H6" i="16" s="1"/>
  <c r="H7" i="16" s="1"/>
  <c r="H8" i="16" s="1"/>
  <c r="J14" i="7"/>
  <c r="J43" i="15"/>
  <c r="J43" i="16"/>
  <c r="I34" i="7"/>
  <c r="J8" i="3"/>
  <c r="J8" i="4"/>
  <c r="J46" i="4"/>
  <c r="E21" i="4"/>
  <c r="D22" i="4" s="1"/>
  <c r="V30" i="4"/>
  <c r="V30" i="16"/>
  <c r="N27" i="7"/>
  <c r="AA26" i="5"/>
  <c r="AE26" i="5" s="1"/>
  <c r="AA22" i="3"/>
  <c r="Z21" i="4"/>
  <c r="AB21" i="4" s="1"/>
  <c r="Z24" i="4"/>
  <c r="AB24" i="4" s="1"/>
  <c r="H24" i="15"/>
  <c r="I23" i="15"/>
  <c r="V20" i="3"/>
  <c r="H23" i="4"/>
  <c r="I23" i="4" s="1"/>
  <c r="V20" i="4" s="1"/>
  <c r="AA24" i="4"/>
  <c r="AE24" i="4" s="1"/>
  <c r="AB24" i="16"/>
  <c r="M52" i="16" l="1"/>
  <c r="AC24" i="4"/>
  <c r="AD24" i="4" s="1"/>
  <c r="K24" i="15"/>
  <c r="M14" i="16"/>
  <c r="K5" i="15"/>
  <c r="Z5" i="16"/>
  <c r="M14" i="3"/>
  <c r="J10" i="4"/>
  <c r="J10" i="15"/>
  <c r="J7" i="4"/>
  <c r="G14" i="7"/>
  <c r="J10" i="3"/>
  <c r="J8" i="15"/>
  <c r="J7" i="16"/>
  <c r="J11" i="4"/>
  <c r="AA23" i="5"/>
  <c r="AC23" i="5" s="1"/>
  <c r="AD23" i="5" s="1"/>
  <c r="AB23" i="5"/>
  <c r="I22" i="5"/>
  <c r="G27" i="7" s="1"/>
  <c r="H23" i="5"/>
  <c r="H9" i="16"/>
  <c r="I8" i="16"/>
  <c r="H23" i="16"/>
  <c r="I22" i="16"/>
  <c r="U30" i="3"/>
  <c r="K8" i="5"/>
  <c r="M31" i="5"/>
  <c r="K6" i="3"/>
  <c r="I7" i="16"/>
  <c r="J14" i="15"/>
  <c r="K47" i="16"/>
  <c r="J5" i="16"/>
  <c r="H24" i="4"/>
  <c r="E21" i="16"/>
  <c r="D22" i="16" s="1"/>
  <c r="J14" i="4"/>
  <c r="Z29" i="5"/>
  <c r="AB29" i="5" s="1"/>
  <c r="K45" i="4"/>
  <c r="AB23" i="3"/>
  <c r="E21" i="3"/>
  <c r="D22" i="3" s="1"/>
  <c r="G37" i="7"/>
  <c r="J11" i="3"/>
  <c r="M14" i="7"/>
  <c r="H24" i="3"/>
  <c r="M52" i="4"/>
  <c r="M52" i="5"/>
  <c r="J11" i="16"/>
  <c r="J14" i="3"/>
  <c r="Z29" i="15"/>
  <c r="AA29" i="15" s="1"/>
  <c r="I22" i="3"/>
  <c r="H41" i="3"/>
  <c r="I6" i="15"/>
  <c r="N19" i="7"/>
  <c r="I6" i="16"/>
  <c r="H19" i="7" s="1"/>
  <c r="J11" i="15"/>
  <c r="J43" i="5"/>
  <c r="J14" i="16"/>
  <c r="Z29" i="4"/>
  <c r="J5" i="3"/>
  <c r="AA23" i="3"/>
  <c r="AA23" i="16"/>
  <c r="AE23" i="16" s="1"/>
  <c r="H41" i="15"/>
  <c r="H42" i="15" s="1"/>
  <c r="L34" i="7"/>
  <c r="J5" i="15"/>
  <c r="H43" i="5"/>
  <c r="I43" i="5" s="1"/>
  <c r="AA29" i="3"/>
  <c r="AB29" i="3"/>
  <c r="AC29" i="3" s="1"/>
  <c r="AD29" i="3" s="1"/>
  <c r="N14" i="7"/>
  <c r="U30" i="4"/>
  <c r="I5" i="15"/>
  <c r="U19" i="15" s="1"/>
  <c r="I5" i="16"/>
  <c r="J43" i="4"/>
  <c r="K43" i="4"/>
  <c r="Z23" i="4"/>
  <c r="G49" i="7"/>
  <c r="O46" i="7"/>
  <c r="N45" i="7"/>
  <c r="B48" i="7"/>
  <c r="O48" i="7"/>
  <c r="N48" i="7"/>
  <c r="C46" i="7"/>
  <c r="O47" i="7"/>
  <c r="N46" i="7"/>
  <c r="O45" i="7"/>
  <c r="N47" i="7"/>
  <c r="L45" i="7"/>
  <c r="O49" i="7"/>
  <c r="N49" i="7"/>
  <c r="K48" i="7"/>
  <c r="AB21" i="15"/>
  <c r="AA21" i="15"/>
  <c r="AC24" i="16"/>
  <c r="AD24" i="16" s="1"/>
  <c r="AE24" i="16"/>
  <c r="AE23" i="5"/>
  <c r="AA21" i="3"/>
  <c r="AB24" i="3"/>
  <c r="AC26" i="5"/>
  <c r="AD26" i="5" s="1"/>
  <c r="AA21" i="4"/>
  <c r="AE21" i="4" s="1"/>
  <c r="AB26" i="3"/>
  <c r="AC26" i="3" s="1"/>
  <c r="AD26" i="3" s="1"/>
  <c r="Z21" i="5"/>
  <c r="Z24" i="5"/>
  <c r="Z21" i="16"/>
  <c r="AA29" i="5"/>
  <c r="AC29" i="5" s="1"/>
  <c r="AD29" i="5" s="1"/>
  <c r="Z30" i="5"/>
  <c r="AB30" i="5" s="1"/>
  <c r="AC30" i="5" s="1"/>
  <c r="AD30" i="5" s="1"/>
  <c r="G45" i="7"/>
  <c r="Z26" i="16"/>
  <c r="Z24" i="15"/>
  <c r="Z30" i="16"/>
  <c r="AB30" i="16" s="1"/>
  <c r="AE30" i="16" s="1"/>
  <c r="AB21" i="3"/>
  <c r="AB30" i="3"/>
  <c r="AA24" i="3"/>
  <c r="Z30" i="15"/>
  <c r="AB30" i="15" s="1"/>
  <c r="AA26" i="15"/>
  <c r="Z7" i="3"/>
  <c r="Z26" i="4"/>
  <c r="C45" i="7"/>
  <c r="E45" i="7"/>
  <c r="E49" i="7"/>
  <c r="J49" i="7"/>
  <c r="B49" i="7"/>
  <c r="H46" i="7"/>
  <c r="K47" i="7"/>
  <c r="A46" i="7"/>
  <c r="E48" i="7"/>
  <c r="G48" i="7"/>
  <c r="A45" i="7"/>
  <c r="L49" i="7"/>
  <c r="D45" i="7"/>
  <c r="K45" i="7"/>
  <c r="F49" i="7"/>
  <c r="F47" i="7"/>
  <c r="J48" i="7"/>
  <c r="I48" i="7"/>
  <c r="J47" i="7"/>
  <c r="D46" i="7"/>
  <c r="I45" i="7"/>
  <c r="F45" i="7"/>
  <c r="K49" i="7"/>
  <c r="C49" i="7"/>
  <c r="I46" i="7"/>
  <c r="L47" i="7"/>
  <c r="C47" i="7"/>
  <c r="F48" i="7"/>
  <c r="I49" i="7"/>
  <c r="A48" i="7"/>
  <c r="F46" i="7"/>
  <c r="I47" i="7"/>
  <c r="B46" i="7"/>
  <c r="D48" i="7"/>
  <c r="J46" i="7"/>
  <c r="A49" i="7"/>
  <c r="A47" i="7"/>
  <c r="B47" i="7"/>
  <c r="K44" i="7"/>
  <c r="B45" i="7"/>
  <c r="E47" i="7"/>
  <c r="G46" i="7"/>
  <c r="D49" i="7"/>
  <c r="K46" i="7"/>
  <c r="D47" i="7"/>
  <c r="H48" i="7"/>
  <c r="L46" i="7"/>
  <c r="J45" i="7"/>
  <c r="H45" i="7"/>
  <c r="H47" i="7"/>
  <c r="L48" i="7"/>
  <c r="C48" i="7"/>
  <c r="K44" i="15"/>
  <c r="K45" i="15"/>
  <c r="J6" i="4"/>
  <c r="J6" i="16"/>
  <c r="J6" i="3"/>
  <c r="J6" i="15"/>
  <c r="Z20" i="5"/>
  <c r="AA20" i="3"/>
  <c r="Z20" i="16"/>
  <c r="Z20" i="15"/>
  <c r="Z20" i="4"/>
  <c r="AB20" i="3"/>
  <c r="N25" i="7"/>
  <c r="V30" i="3"/>
  <c r="V19" i="15"/>
  <c r="G28" i="7"/>
  <c r="I41" i="4"/>
  <c r="W22" i="4" s="1"/>
  <c r="H42" i="4"/>
  <c r="J42" i="3"/>
  <c r="J42" i="16"/>
  <c r="J42" i="4"/>
  <c r="J42" i="5"/>
  <c r="H34" i="7"/>
  <c r="M14" i="5"/>
  <c r="K24" i="5"/>
  <c r="K25" i="5"/>
  <c r="K22" i="5"/>
  <c r="K44" i="5"/>
  <c r="K43" i="5"/>
  <c r="K47" i="5"/>
  <c r="K45" i="5"/>
  <c r="K46" i="5"/>
  <c r="Z6" i="16"/>
  <c r="Z7" i="16"/>
  <c r="AA29" i="16"/>
  <c r="Z19" i="15"/>
  <c r="Z19" i="16"/>
  <c r="Z19" i="4"/>
  <c r="Z19" i="5"/>
  <c r="AB19" i="3"/>
  <c r="AA19" i="3"/>
  <c r="N28" i="7"/>
  <c r="V30" i="15"/>
  <c r="K24" i="4"/>
  <c r="H14" i="7"/>
  <c r="N41" i="5"/>
  <c r="Z6" i="3"/>
  <c r="Z28" i="16"/>
  <c r="AA28" i="3"/>
  <c r="Z28" i="4"/>
  <c r="Z28" i="15"/>
  <c r="AB28" i="3"/>
  <c r="K46" i="3"/>
  <c r="K44" i="3"/>
  <c r="K9" i="5"/>
  <c r="K5" i="5"/>
  <c r="AA28" i="5"/>
  <c r="AB28" i="5"/>
  <c r="I24" i="3"/>
  <c r="H25" i="3"/>
  <c r="AC21" i="4"/>
  <c r="AD21" i="4" s="1"/>
  <c r="AE21" i="15"/>
  <c r="K45" i="3"/>
  <c r="K26" i="15"/>
  <c r="K25" i="3"/>
  <c r="K22" i="3"/>
  <c r="K8" i="4"/>
  <c r="K5" i="4"/>
  <c r="M14" i="4"/>
  <c r="K7" i="4"/>
  <c r="K6" i="4"/>
  <c r="K9" i="4"/>
  <c r="K23" i="4"/>
  <c r="M31" i="4"/>
  <c r="K22" i="4"/>
  <c r="K25" i="4"/>
  <c r="K26" i="4"/>
  <c r="H28" i="7"/>
  <c r="V20" i="15"/>
  <c r="H5" i="5"/>
  <c r="E4" i="5"/>
  <c r="D5" i="5" s="1"/>
  <c r="H26" i="7"/>
  <c r="H8" i="15"/>
  <c r="I7" i="15"/>
  <c r="I24" i="15"/>
  <c r="H25" i="15"/>
  <c r="AB29" i="4"/>
  <c r="AA29" i="4"/>
  <c r="AC30" i="4"/>
  <c r="AD30" i="4" s="1"/>
  <c r="Z5" i="15"/>
  <c r="Z6" i="15"/>
  <c r="Z5" i="4"/>
  <c r="Z6" i="4"/>
  <c r="K22" i="16"/>
  <c r="K23" i="16"/>
  <c r="K6" i="16"/>
  <c r="K9" i="16"/>
  <c r="K5" i="16"/>
  <c r="L5" i="16" s="1"/>
  <c r="N9" i="16" s="1"/>
  <c r="O9" i="16" s="1"/>
  <c r="P9" i="16" s="1"/>
  <c r="Q9" i="16" s="1"/>
  <c r="R9" i="16" s="1"/>
  <c r="M31" i="3"/>
  <c r="G26" i="7"/>
  <c r="V19" i="4"/>
  <c r="H42" i="16"/>
  <c r="I41" i="16"/>
  <c r="W22" i="16" s="1"/>
  <c r="W23" i="5"/>
  <c r="K8" i="16"/>
  <c r="Z7" i="4"/>
  <c r="AB22" i="16"/>
  <c r="AA22" i="16"/>
  <c r="Z6" i="5"/>
  <c r="Z7" i="5"/>
  <c r="Z5" i="5"/>
  <c r="M52" i="15"/>
  <c r="K46" i="15"/>
  <c r="K43" i="15"/>
  <c r="K47" i="15"/>
  <c r="K25" i="15"/>
  <c r="K23" i="15"/>
  <c r="M31" i="15"/>
  <c r="L22" i="15" s="1"/>
  <c r="N23" i="15" s="1"/>
  <c r="K8" i="15"/>
  <c r="M14" i="15"/>
  <c r="K7" i="15"/>
  <c r="K6" i="15"/>
  <c r="K9" i="15"/>
  <c r="V19" i="5"/>
  <c r="Y23" i="4"/>
  <c r="E46" i="7" s="1"/>
  <c r="AE23" i="15"/>
  <c r="AC23" i="15"/>
  <c r="AD23" i="15" s="1"/>
  <c r="Z7" i="15"/>
  <c r="Z27" i="5"/>
  <c r="Z27" i="15"/>
  <c r="Z27" i="16"/>
  <c r="AB27" i="3"/>
  <c r="AE27" i="3" s="1"/>
  <c r="I44" i="7" s="1"/>
  <c r="Z27" i="4"/>
  <c r="N18" i="7"/>
  <c r="U30" i="15"/>
  <c r="E4" i="3"/>
  <c r="D5" i="3" s="1"/>
  <c r="H5" i="3"/>
  <c r="K44" i="16"/>
  <c r="K43" i="16"/>
  <c r="K46" i="16"/>
  <c r="AB25" i="4"/>
  <c r="AA25" i="4"/>
  <c r="J9" i="4"/>
  <c r="J9" i="3"/>
  <c r="J46" i="3"/>
  <c r="J46" i="5"/>
  <c r="J46" i="15"/>
  <c r="K23" i="3"/>
  <c r="K24" i="3"/>
  <c r="K26" i="3"/>
  <c r="AA25" i="3"/>
  <c r="Z25" i="5"/>
  <c r="Z25" i="15"/>
  <c r="Z25" i="16"/>
  <c r="Z22" i="4"/>
  <c r="Z22" i="5"/>
  <c r="Z22" i="15"/>
  <c r="AB22" i="3"/>
  <c r="AC22" i="3" s="1"/>
  <c r="AD22" i="3" s="1"/>
  <c r="K7" i="16"/>
  <c r="K6" i="5"/>
  <c r="K26" i="5"/>
  <c r="K23" i="5"/>
  <c r="M52" i="3"/>
  <c r="K5" i="3"/>
  <c r="K7" i="3"/>
  <c r="K9" i="3"/>
  <c r="K8" i="3"/>
  <c r="J7" i="3"/>
  <c r="J34" i="7"/>
  <c r="J44" i="3"/>
  <c r="J44" i="4"/>
  <c r="J44" i="5"/>
  <c r="J44" i="16"/>
  <c r="J44" i="15"/>
  <c r="Z5" i="3"/>
  <c r="K24" i="16"/>
  <c r="K25" i="16"/>
  <c r="K26" i="16"/>
  <c r="AE23" i="3"/>
  <c r="E44" i="7" s="1"/>
  <c r="AC23" i="3"/>
  <c r="AD23" i="3" s="1"/>
  <c r="Y26" i="16"/>
  <c r="H49" i="7" s="1"/>
  <c r="N17" i="7"/>
  <c r="U30" i="5"/>
  <c r="K43" i="3"/>
  <c r="E4" i="15"/>
  <c r="D5" i="15" s="1"/>
  <c r="L14" i="7"/>
  <c r="M31" i="16"/>
  <c r="L22" i="16" s="1"/>
  <c r="N24" i="16" s="1"/>
  <c r="O24" i="16" s="1"/>
  <c r="P24" i="16" s="1"/>
  <c r="K46" i="4"/>
  <c r="K47" i="4"/>
  <c r="E4" i="4"/>
  <c r="D5" i="4" s="1"/>
  <c r="H5" i="4"/>
  <c r="J49" i="3"/>
  <c r="J49" i="4"/>
  <c r="Q24" i="16" l="1"/>
  <c r="R24" i="16" s="1"/>
  <c r="AB29" i="15"/>
  <c r="AC29" i="15" s="1"/>
  <c r="AD29" i="15" s="1"/>
  <c r="N47" i="4"/>
  <c r="O47" i="4" s="1"/>
  <c r="P47" i="4" s="1"/>
  <c r="Q47" i="4" s="1"/>
  <c r="R47" i="4" s="1"/>
  <c r="H44" i="5"/>
  <c r="AC24" i="3"/>
  <c r="AD24" i="3" s="1"/>
  <c r="AC23" i="16"/>
  <c r="AD23" i="16" s="1"/>
  <c r="L43" i="4"/>
  <c r="N43" i="4" s="1"/>
  <c r="O43" i="4" s="1"/>
  <c r="P43" i="4" s="1"/>
  <c r="L22" i="3"/>
  <c r="N25" i="3" s="1"/>
  <c r="O25" i="3" s="1"/>
  <c r="I19" i="7"/>
  <c r="U21" i="16"/>
  <c r="H10" i="16"/>
  <c r="I9" i="16"/>
  <c r="N44" i="4"/>
  <c r="O44" i="4" s="1"/>
  <c r="P44" i="4" s="1"/>
  <c r="N8" i="16"/>
  <c r="O8" i="16" s="1"/>
  <c r="P8" i="16" s="1"/>
  <c r="Q8" i="16" s="1"/>
  <c r="R8" i="16" s="1"/>
  <c r="G18" i="7"/>
  <c r="AC21" i="15"/>
  <c r="AD21" i="15" s="1"/>
  <c r="H18" i="7"/>
  <c r="U20" i="15"/>
  <c r="H24" i="5"/>
  <c r="I23" i="5"/>
  <c r="H24" i="16"/>
  <c r="I23" i="16"/>
  <c r="J19" i="7"/>
  <c r="U22" i="16"/>
  <c r="I41" i="15"/>
  <c r="W22" i="15" s="1"/>
  <c r="H42" i="3"/>
  <c r="I41" i="3"/>
  <c r="W22" i="3" s="1"/>
  <c r="U20" i="16"/>
  <c r="L22" i="4"/>
  <c r="N26" i="4" s="1"/>
  <c r="O26" i="4" s="1"/>
  <c r="P26" i="4" s="1"/>
  <c r="Q26" i="4" s="1"/>
  <c r="R26" i="4" s="1"/>
  <c r="AB23" i="4"/>
  <c r="AA23" i="4"/>
  <c r="AE29" i="3"/>
  <c r="G25" i="7"/>
  <c r="V19" i="3"/>
  <c r="V19" i="16"/>
  <c r="G29" i="7"/>
  <c r="U19" i="16"/>
  <c r="G19" i="7"/>
  <c r="AC30" i="16"/>
  <c r="AD30" i="16" s="1"/>
  <c r="W24" i="5"/>
  <c r="I37" i="7"/>
  <c r="H25" i="4"/>
  <c r="I24" i="4"/>
  <c r="AE26" i="15"/>
  <c r="AC26" i="15"/>
  <c r="AD26" i="15" s="1"/>
  <c r="AA26" i="16"/>
  <c r="AB26" i="16"/>
  <c r="AE29" i="5"/>
  <c r="AE24" i="3"/>
  <c r="F44" i="7" s="1"/>
  <c r="AC30" i="3"/>
  <c r="AD30" i="3" s="1"/>
  <c r="AE30" i="3"/>
  <c r="L44" i="7" s="1"/>
  <c r="AA21" i="16"/>
  <c r="AB21" i="16"/>
  <c r="AE21" i="3"/>
  <c r="C44" i="7" s="1"/>
  <c r="AC21" i="3"/>
  <c r="AD21" i="3" s="1"/>
  <c r="AB24" i="15"/>
  <c r="AA24" i="15"/>
  <c r="AA21" i="5"/>
  <c r="AB21" i="5"/>
  <c r="AE26" i="3"/>
  <c r="H44" i="7" s="1"/>
  <c r="AC30" i="15"/>
  <c r="AD30" i="15" s="1"/>
  <c r="AE30" i="15"/>
  <c r="AE30" i="5"/>
  <c r="AE22" i="3"/>
  <c r="D44" i="7" s="1"/>
  <c r="AA26" i="4"/>
  <c r="AB26" i="4"/>
  <c r="AB24" i="5"/>
  <c r="AA24" i="5"/>
  <c r="AB22" i="5"/>
  <c r="AA22" i="5"/>
  <c r="AA27" i="5"/>
  <c r="AB27" i="5"/>
  <c r="N24" i="15"/>
  <c r="O24" i="15" s="1"/>
  <c r="P24" i="15" s="1"/>
  <c r="Q24" i="15" s="1"/>
  <c r="R24" i="15" s="1"/>
  <c r="AB19" i="15"/>
  <c r="AA19" i="15"/>
  <c r="AC20" i="3"/>
  <c r="AD20" i="3" s="1"/>
  <c r="AE20" i="3"/>
  <c r="B44" i="7" s="1"/>
  <c r="Q43" i="4"/>
  <c r="R43" i="4" s="1"/>
  <c r="AA22" i="4"/>
  <c r="AB22" i="4"/>
  <c r="AC29" i="4"/>
  <c r="AD29" i="4" s="1"/>
  <c r="AE29" i="4"/>
  <c r="AA28" i="15"/>
  <c r="AB28" i="15"/>
  <c r="AC29" i="16"/>
  <c r="AD29" i="16" s="1"/>
  <c r="AE29" i="16"/>
  <c r="AA20" i="5"/>
  <c r="AB20" i="5"/>
  <c r="P54" i="7"/>
  <c r="N54" i="7"/>
  <c r="O54" i="7"/>
  <c r="AB25" i="16"/>
  <c r="AA25" i="16"/>
  <c r="AC25" i="4"/>
  <c r="AD25" i="4" s="1"/>
  <c r="AE25" i="4"/>
  <c r="Q44" i="4"/>
  <c r="R44" i="4" s="1"/>
  <c r="N25" i="15"/>
  <c r="O25" i="15" s="1"/>
  <c r="P25" i="15" s="1"/>
  <c r="Q25" i="15" s="1"/>
  <c r="R25" i="15" s="1"/>
  <c r="N11" i="16"/>
  <c r="O11" i="16" s="1"/>
  <c r="P11" i="16" s="1"/>
  <c r="Q11" i="16" s="1"/>
  <c r="R11" i="16" s="1"/>
  <c r="N7" i="16"/>
  <c r="O7" i="16" s="1"/>
  <c r="P7" i="16" s="1"/>
  <c r="Q7" i="16" s="1"/>
  <c r="R7" i="16" s="1"/>
  <c r="N6" i="16"/>
  <c r="O6" i="16" s="1"/>
  <c r="P6" i="16" s="1"/>
  <c r="Q6" i="16" s="1"/>
  <c r="R6" i="16" s="1"/>
  <c r="N12" i="16"/>
  <c r="N5" i="16"/>
  <c r="O5" i="16" s="1"/>
  <c r="P5" i="16" s="1"/>
  <c r="Q5" i="16" s="1"/>
  <c r="R5" i="16" s="1"/>
  <c r="N10" i="16"/>
  <c r="O10" i="16" s="1"/>
  <c r="P10" i="16" s="1"/>
  <c r="Q10" i="16" s="1"/>
  <c r="R10" i="16" s="1"/>
  <c r="H6" i="5"/>
  <c r="I5" i="5"/>
  <c r="L5" i="4"/>
  <c r="N12" i="4" s="1"/>
  <c r="H26" i="3"/>
  <c r="I25" i="3"/>
  <c r="AA28" i="4"/>
  <c r="AB28" i="4"/>
  <c r="L22" i="5"/>
  <c r="N22" i="5" s="1"/>
  <c r="N27" i="4"/>
  <c r="O27" i="4" s="1"/>
  <c r="P27" i="4" s="1"/>
  <c r="Q27" i="4" s="1"/>
  <c r="R27" i="4" s="1"/>
  <c r="I44" i="5"/>
  <c r="H45" i="5"/>
  <c r="AA25" i="15"/>
  <c r="AB25" i="15"/>
  <c r="N24" i="4"/>
  <c r="O24" i="4" s="1"/>
  <c r="P24" i="4" s="1"/>
  <c r="Q24" i="4" s="1"/>
  <c r="R24" i="4" s="1"/>
  <c r="N28" i="4"/>
  <c r="O28" i="4" s="1"/>
  <c r="P28" i="4" s="1"/>
  <c r="Q28" i="4" s="1"/>
  <c r="R28" i="4" s="1"/>
  <c r="N29" i="4"/>
  <c r="V21" i="3"/>
  <c r="I25" i="7"/>
  <c r="AC28" i="3"/>
  <c r="AD28" i="3" s="1"/>
  <c r="AE28" i="3"/>
  <c r="J44" i="7" s="1"/>
  <c r="L43" i="5"/>
  <c r="N47" i="5" s="1"/>
  <c r="O47" i="5" s="1"/>
  <c r="P47" i="5" s="1"/>
  <c r="Q47" i="5" s="1"/>
  <c r="R47" i="5" s="1"/>
  <c r="AC19" i="3"/>
  <c r="AD19" i="3" s="1"/>
  <c r="AE19" i="3"/>
  <c r="A44" i="7" s="1"/>
  <c r="L43" i="15"/>
  <c r="N43" i="15" s="1"/>
  <c r="O43" i="15" s="1"/>
  <c r="P43" i="15" s="1"/>
  <c r="Q43" i="15" s="1"/>
  <c r="R43" i="15" s="1"/>
  <c r="P25" i="3"/>
  <c r="Q25" i="3" s="1"/>
  <c r="R25" i="3" s="1"/>
  <c r="AA25" i="5"/>
  <c r="AB25" i="5"/>
  <c r="AA27" i="4"/>
  <c r="AB27" i="4"/>
  <c r="AC22" i="16"/>
  <c r="AD22" i="16" s="1"/>
  <c r="AE22" i="16"/>
  <c r="H43" i="16"/>
  <c r="I42" i="16"/>
  <c r="N26" i="15"/>
  <c r="O26" i="15" s="1"/>
  <c r="P26" i="15" s="1"/>
  <c r="Q26" i="15" s="1"/>
  <c r="R26" i="15" s="1"/>
  <c r="AB28" i="16"/>
  <c r="AA28" i="16"/>
  <c r="I5" i="4"/>
  <c r="H6" i="4"/>
  <c r="AC25" i="3"/>
  <c r="AD25" i="3" s="1"/>
  <c r="AE25" i="3"/>
  <c r="G44" i="7" s="1"/>
  <c r="L43" i="16"/>
  <c r="N50" i="16" s="1"/>
  <c r="N22" i="15"/>
  <c r="L5" i="3"/>
  <c r="N6" i="3" s="1"/>
  <c r="O6" i="3" s="1"/>
  <c r="P6" i="3" s="1"/>
  <c r="Q6" i="3" s="1"/>
  <c r="R6" i="3" s="1"/>
  <c r="N9" i="3"/>
  <c r="O9" i="3" s="1"/>
  <c r="P9" i="3" s="1"/>
  <c r="Q9" i="3" s="1"/>
  <c r="R9" i="3" s="1"/>
  <c r="U21" i="15"/>
  <c r="I18" i="7"/>
  <c r="N27" i="15"/>
  <c r="O27" i="15" s="1"/>
  <c r="P27" i="15" s="1"/>
  <c r="Q27" i="15" s="1"/>
  <c r="R27" i="15" s="1"/>
  <c r="N28" i="15"/>
  <c r="O28" i="15" s="1"/>
  <c r="P28" i="15" s="1"/>
  <c r="Q28" i="15" s="1"/>
  <c r="R28" i="15" s="1"/>
  <c r="I42" i="4"/>
  <c r="H43" i="4"/>
  <c r="AA20" i="15"/>
  <c r="AB20" i="15"/>
  <c r="AC27" i="3"/>
  <c r="AD27" i="3" s="1"/>
  <c r="O23" i="15"/>
  <c r="P23" i="15" s="1"/>
  <c r="Q23" i="15" s="1"/>
  <c r="R23" i="15" s="1"/>
  <c r="N48" i="5"/>
  <c r="O48" i="5" s="1"/>
  <c r="P48" i="5" s="1"/>
  <c r="Q48" i="5" s="1"/>
  <c r="R48" i="5" s="1"/>
  <c r="N44" i="5"/>
  <c r="O44" i="5" s="1"/>
  <c r="P44" i="5" s="1"/>
  <c r="Q44" i="5" s="1"/>
  <c r="R44" i="5" s="1"/>
  <c r="N45" i="5"/>
  <c r="O45" i="5" s="1"/>
  <c r="P45" i="5" s="1"/>
  <c r="Q45" i="5" s="1"/>
  <c r="R45" i="5" s="1"/>
  <c r="N46" i="5"/>
  <c r="O46" i="5" s="1"/>
  <c r="P46" i="5" s="1"/>
  <c r="Q46" i="5" s="1"/>
  <c r="R46" i="5" s="1"/>
  <c r="N49" i="5"/>
  <c r="O49" i="5" s="1"/>
  <c r="P49" i="5" s="1"/>
  <c r="Q49" i="5" s="1"/>
  <c r="R49" i="5" s="1"/>
  <c r="I25" i="15"/>
  <c r="H26" i="15"/>
  <c r="AC28" i="5"/>
  <c r="AD28" i="5" s="1"/>
  <c r="AE28" i="5"/>
  <c r="V21" i="15"/>
  <c r="I28" i="7"/>
  <c r="N28" i="3"/>
  <c r="O28" i="3" s="1"/>
  <c r="P28" i="3" s="1"/>
  <c r="Q28" i="3" s="1"/>
  <c r="R28" i="3" s="1"/>
  <c r="N26" i="3"/>
  <c r="O26" i="3" s="1"/>
  <c r="P26" i="3" s="1"/>
  <c r="Q26" i="3" s="1"/>
  <c r="R26" i="3" s="1"/>
  <c r="N22" i="3"/>
  <c r="N27" i="3"/>
  <c r="O27" i="3" s="1"/>
  <c r="P27" i="3" s="1"/>
  <c r="Q27" i="3" s="1"/>
  <c r="R27" i="3" s="1"/>
  <c r="N24" i="3"/>
  <c r="O24" i="3" s="1"/>
  <c r="P24" i="3" s="1"/>
  <c r="Q24" i="3" s="1"/>
  <c r="R24" i="3" s="1"/>
  <c r="AB19" i="5"/>
  <c r="AA19" i="5"/>
  <c r="I42" i="15"/>
  <c r="H43" i="15"/>
  <c r="AB20" i="4"/>
  <c r="AA20" i="4"/>
  <c r="AB27" i="16"/>
  <c r="AA27" i="16"/>
  <c r="L5" i="15"/>
  <c r="AB19" i="4"/>
  <c r="AA19" i="4"/>
  <c r="L43" i="3"/>
  <c r="N44" i="3" s="1"/>
  <c r="O44" i="3" s="1"/>
  <c r="P44" i="3" s="1"/>
  <c r="Q44" i="3" s="1"/>
  <c r="R44" i="3" s="1"/>
  <c r="AB22" i="15"/>
  <c r="AA22" i="15"/>
  <c r="H6" i="3"/>
  <c r="I5" i="3"/>
  <c r="AA27" i="15"/>
  <c r="AB27" i="15"/>
  <c r="N27" i="16"/>
  <c r="O27" i="16" s="1"/>
  <c r="P27" i="16" s="1"/>
  <c r="Q27" i="16" s="1"/>
  <c r="R27" i="16" s="1"/>
  <c r="N25" i="16"/>
  <c r="O25" i="16" s="1"/>
  <c r="P25" i="16" s="1"/>
  <c r="Q25" i="16" s="1"/>
  <c r="R25" i="16" s="1"/>
  <c r="N22" i="16"/>
  <c r="N28" i="16"/>
  <c r="O28" i="16" s="1"/>
  <c r="P28" i="16" s="1"/>
  <c r="Q28" i="16" s="1"/>
  <c r="R28" i="16" s="1"/>
  <c r="N26" i="16"/>
  <c r="O26" i="16" s="1"/>
  <c r="P26" i="16" s="1"/>
  <c r="Q26" i="16" s="1"/>
  <c r="R26" i="16" s="1"/>
  <c r="N23" i="16"/>
  <c r="N29" i="16"/>
  <c r="H9" i="15"/>
  <c r="I8" i="15"/>
  <c r="N23" i="3"/>
  <c r="N29" i="15"/>
  <c r="N9" i="5"/>
  <c r="O9" i="5" s="1"/>
  <c r="P9" i="5" s="1"/>
  <c r="Q9" i="5" s="1"/>
  <c r="R9" i="5" s="1"/>
  <c r="AB19" i="16"/>
  <c r="AA19" i="16"/>
  <c r="L5" i="5"/>
  <c r="N10" i="5" s="1"/>
  <c r="O10" i="5" s="1"/>
  <c r="P10" i="5" s="1"/>
  <c r="Q10" i="5" s="1"/>
  <c r="R10" i="5" s="1"/>
  <c r="AB20" i="16"/>
  <c r="AA20" i="16"/>
  <c r="N42" i="4"/>
  <c r="O42" i="4" s="1"/>
  <c r="P42" i="4" s="1"/>
  <c r="Q42" i="4" s="1"/>
  <c r="R42" i="4" s="1"/>
  <c r="N49" i="4"/>
  <c r="O49" i="4" s="1"/>
  <c r="P49" i="4" s="1"/>
  <c r="Q49" i="4" s="1"/>
  <c r="R49" i="4" s="1"/>
  <c r="N46" i="4"/>
  <c r="O46" i="4" s="1"/>
  <c r="P46" i="4" s="1"/>
  <c r="Q46" i="4" s="1"/>
  <c r="R46" i="4" s="1"/>
  <c r="N44" i="15"/>
  <c r="O44" i="15" s="1"/>
  <c r="P44" i="15" s="1"/>
  <c r="Q44" i="15" s="1"/>
  <c r="R44" i="15" s="1"/>
  <c r="N42" i="16" l="1"/>
  <c r="O42" i="16" s="1"/>
  <c r="P42" i="16" s="1"/>
  <c r="Q42" i="16" s="1"/>
  <c r="R42" i="16" s="1"/>
  <c r="N47" i="16"/>
  <c r="O47" i="16" s="1"/>
  <c r="P47" i="16" s="1"/>
  <c r="Q47" i="16" s="1"/>
  <c r="R47" i="16" s="1"/>
  <c r="AE21" i="5"/>
  <c r="AC21" i="16"/>
  <c r="AD21" i="16" s="1"/>
  <c r="N44" i="16"/>
  <c r="O44" i="16" s="1"/>
  <c r="P44" i="16" s="1"/>
  <c r="Q44" i="16" s="1"/>
  <c r="R44" i="16" s="1"/>
  <c r="AE29" i="15"/>
  <c r="N43" i="5"/>
  <c r="O43" i="5" s="1"/>
  <c r="P43" i="5" s="1"/>
  <c r="Q43" i="5" s="1"/>
  <c r="R43" i="5" s="1"/>
  <c r="N50" i="4"/>
  <c r="O50" i="4" s="1"/>
  <c r="N45" i="4"/>
  <c r="O45" i="4" s="1"/>
  <c r="P45" i="4" s="1"/>
  <c r="Q45" i="4" s="1"/>
  <c r="R45" i="4" s="1"/>
  <c r="N48" i="4"/>
  <c r="O48" i="4" s="1"/>
  <c r="P48" i="4" s="1"/>
  <c r="Q48" i="4" s="1"/>
  <c r="R48" i="4" s="1"/>
  <c r="N29" i="3"/>
  <c r="O29" i="3" s="1"/>
  <c r="V20" i="16"/>
  <c r="H29" i="7"/>
  <c r="N45" i="15"/>
  <c r="O45" i="15" s="1"/>
  <c r="P45" i="15" s="1"/>
  <c r="Q45" i="15" s="1"/>
  <c r="R45" i="15" s="1"/>
  <c r="N7" i="3"/>
  <c r="O7" i="3" s="1"/>
  <c r="P7" i="3" s="1"/>
  <c r="Q7" i="3" s="1"/>
  <c r="R7" i="3" s="1"/>
  <c r="N47" i="15"/>
  <c r="O47" i="15" s="1"/>
  <c r="P47" i="15" s="1"/>
  <c r="Q47" i="15" s="1"/>
  <c r="R47" i="15" s="1"/>
  <c r="N9" i="4"/>
  <c r="O9" i="4" s="1"/>
  <c r="P9" i="4" s="1"/>
  <c r="Q9" i="4" s="1"/>
  <c r="R9" i="4" s="1"/>
  <c r="N11" i="4"/>
  <c r="O11" i="4" s="1"/>
  <c r="P11" i="4" s="1"/>
  <c r="Q11" i="4" s="1"/>
  <c r="R11" i="4" s="1"/>
  <c r="N25" i="4"/>
  <c r="O25" i="4" s="1"/>
  <c r="P25" i="4" s="1"/>
  <c r="Q25" i="4" s="1"/>
  <c r="R25" i="4" s="1"/>
  <c r="I26" i="7"/>
  <c r="V21" i="4"/>
  <c r="V20" i="5"/>
  <c r="H27" i="7"/>
  <c r="N50" i="3"/>
  <c r="O50" i="3" s="1"/>
  <c r="N48" i="15"/>
  <c r="O48" i="15" s="1"/>
  <c r="P48" i="15" s="1"/>
  <c r="Q48" i="15" s="1"/>
  <c r="R48" i="15" s="1"/>
  <c r="N50" i="5"/>
  <c r="O50" i="5" s="1"/>
  <c r="N6" i="4"/>
  <c r="O6" i="4" s="1"/>
  <c r="P6" i="4" s="1"/>
  <c r="Q6" i="4" s="1"/>
  <c r="R6" i="4" s="1"/>
  <c r="N23" i="4"/>
  <c r="N22" i="4"/>
  <c r="H26" i="4"/>
  <c r="I25" i="4"/>
  <c r="H25" i="5"/>
  <c r="I24" i="5"/>
  <c r="K19" i="7"/>
  <c r="U23" i="16"/>
  <c r="N42" i="3"/>
  <c r="O42" i="3" s="1"/>
  <c r="P42" i="3" s="1"/>
  <c r="Q42" i="3" s="1"/>
  <c r="R42" i="3" s="1"/>
  <c r="N7" i="4"/>
  <c r="O7" i="4" s="1"/>
  <c r="P7" i="4" s="1"/>
  <c r="Q7" i="4" s="1"/>
  <c r="R7" i="4" s="1"/>
  <c r="I42" i="3"/>
  <c r="H43" i="3"/>
  <c r="H11" i="16"/>
  <c r="I11" i="16" s="1"/>
  <c r="I10" i="16"/>
  <c r="N10" i="4"/>
  <c r="O10" i="4" s="1"/>
  <c r="P10" i="4" s="1"/>
  <c r="Q10" i="4" s="1"/>
  <c r="R10" i="4" s="1"/>
  <c r="AC23" i="4"/>
  <c r="AD23" i="4" s="1"/>
  <c r="AE23" i="4"/>
  <c r="N31" i="3"/>
  <c r="L23" i="3" s="1"/>
  <c r="I24" i="16"/>
  <c r="H25" i="16"/>
  <c r="N49" i="15"/>
  <c r="O49" i="15" s="1"/>
  <c r="P49" i="15" s="1"/>
  <c r="Q49" i="15" s="1"/>
  <c r="R49" i="15" s="1"/>
  <c r="N48" i="3"/>
  <c r="O48" i="3" s="1"/>
  <c r="P48" i="3" s="1"/>
  <c r="Q48" i="3" s="1"/>
  <c r="R48" i="3" s="1"/>
  <c r="N46" i="3"/>
  <c r="O46" i="3" s="1"/>
  <c r="P46" i="3" s="1"/>
  <c r="Q46" i="3" s="1"/>
  <c r="R46" i="3" s="1"/>
  <c r="N42" i="5"/>
  <c r="O42" i="5" s="1"/>
  <c r="P42" i="5" s="1"/>
  <c r="Q42" i="5" s="1"/>
  <c r="R42" i="5" s="1"/>
  <c r="N8" i="3"/>
  <c r="O8" i="3" s="1"/>
  <c r="P8" i="3" s="1"/>
  <c r="Q8" i="3" s="1"/>
  <c r="R8" i="3" s="1"/>
  <c r="AE26" i="16"/>
  <c r="AC21" i="5"/>
  <c r="AD21" i="5" s="1"/>
  <c r="AD31" i="3"/>
  <c r="AE31" i="3" s="1"/>
  <c r="M45" i="7" s="1"/>
  <c r="AC26" i="4"/>
  <c r="AD26" i="4" s="1"/>
  <c r="AE26" i="4"/>
  <c r="AC26" i="16"/>
  <c r="AD26" i="16" s="1"/>
  <c r="AE24" i="15"/>
  <c r="AC24" i="15"/>
  <c r="AD24" i="15" s="1"/>
  <c r="AE24" i="5"/>
  <c r="AC24" i="5"/>
  <c r="AD24" i="5" s="1"/>
  <c r="AE21" i="16"/>
  <c r="O22" i="5"/>
  <c r="P22" i="5" s="1"/>
  <c r="Q22" i="5" s="1"/>
  <c r="R22" i="5" s="1"/>
  <c r="G22" i="5"/>
  <c r="P50" i="4"/>
  <c r="AC25" i="5"/>
  <c r="AD25" i="5" s="1"/>
  <c r="AE25" i="5"/>
  <c r="G15" i="7"/>
  <c r="U19" i="3"/>
  <c r="AC20" i="15"/>
  <c r="AD20" i="15" s="1"/>
  <c r="AE20" i="15"/>
  <c r="O22" i="4"/>
  <c r="P22" i="4" s="1"/>
  <c r="Q22" i="4" s="1"/>
  <c r="R22" i="4" s="1"/>
  <c r="G22" i="4"/>
  <c r="H44" i="15"/>
  <c r="I43" i="15"/>
  <c r="H27" i="15"/>
  <c r="I26" i="15"/>
  <c r="I43" i="4"/>
  <c r="H44" i="4"/>
  <c r="N29" i="5"/>
  <c r="N7" i="5"/>
  <c r="O7" i="5" s="1"/>
  <c r="P7" i="5" s="1"/>
  <c r="Q7" i="5" s="1"/>
  <c r="R7" i="5" s="1"/>
  <c r="W23" i="15"/>
  <c r="H38" i="7"/>
  <c r="G38" i="7" s="1"/>
  <c r="O23" i="4"/>
  <c r="P23" i="4" s="1"/>
  <c r="Q23" i="4" s="1"/>
  <c r="R23" i="4" s="1"/>
  <c r="O29" i="15"/>
  <c r="N31" i="15"/>
  <c r="L23" i="15" s="1"/>
  <c r="O22" i="16"/>
  <c r="P22" i="16" s="1"/>
  <c r="Q22" i="16" s="1"/>
  <c r="R22" i="16" s="1"/>
  <c r="G22" i="16"/>
  <c r="N9" i="15"/>
  <c r="O9" i="15" s="1"/>
  <c r="P9" i="15" s="1"/>
  <c r="Q9" i="15" s="1"/>
  <c r="R9" i="15" s="1"/>
  <c r="N8" i="15"/>
  <c r="O8" i="15" s="1"/>
  <c r="P8" i="15" s="1"/>
  <c r="Q8" i="15" s="1"/>
  <c r="R8" i="15" s="1"/>
  <c r="N12" i="15"/>
  <c r="N10" i="15"/>
  <c r="O10" i="15" s="1"/>
  <c r="P10" i="15" s="1"/>
  <c r="Q10" i="15" s="1"/>
  <c r="R10" i="15" s="1"/>
  <c r="N11" i="15"/>
  <c r="O11" i="15" s="1"/>
  <c r="P11" i="15" s="1"/>
  <c r="Q11" i="15" s="1"/>
  <c r="R11" i="15" s="1"/>
  <c r="N7" i="15"/>
  <c r="O7" i="15" s="1"/>
  <c r="P7" i="15" s="1"/>
  <c r="Q7" i="15" s="1"/>
  <c r="R7" i="15" s="1"/>
  <c r="N5" i="15"/>
  <c r="O5" i="15" s="1"/>
  <c r="P5" i="15" s="1"/>
  <c r="Q5" i="15" s="1"/>
  <c r="R5" i="15" s="1"/>
  <c r="N6" i="15"/>
  <c r="O6" i="15" s="1"/>
  <c r="P6" i="15" s="1"/>
  <c r="Q6" i="15" s="1"/>
  <c r="R6" i="15" s="1"/>
  <c r="AC19" i="5"/>
  <c r="AD19" i="5" s="1"/>
  <c r="AE19" i="5"/>
  <c r="N10" i="3"/>
  <c r="O10" i="3" s="1"/>
  <c r="P10" i="3" s="1"/>
  <c r="Q10" i="3" s="1"/>
  <c r="R10" i="3" s="1"/>
  <c r="N46" i="16"/>
  <c r="O46" i="16" s="1"/>
  <c r="P46" i="16" s="1"/>
  <c r="Q46" i="16" s="1"/>
  <c r="R46" i="16" s="1"/>
  <c r="H44" i="16"/>
  <c r="I43" i="16"/>
  <c r="N24" i="5"/>
  <c r="O24" i="5" s="1"/>
  <c r="P24" i="5" s="1"/>
  <c r="Q24" i="5" s="1"/>
  <c r="R24" i="5" s="1"/>
  <c r="AC25" i="16"/>
  <c r="AD25" i="16" s="1"/>
  <c r="AE25" i="16"/>
  <c r="AC27" i="5"/>
  <c r="AD27" i="5" s="1"/>
  <c r="AE27" i="5"/>
  <c r="O23" i="3"/>
  <c r="P23" i="3" s="1"/>
  <c r="Q23" i="3" s="1"/>
  <c r="R23" i="3" s="1"/>
  <c r="AE19" i="4"/>
  <c r="AC19" i="4"/>
  <c r="AD19" i="4" s="1"/>
  <c r="N42" i="15"/>
  <c r="O42" i="15" s="1"/>
  <c r="P42" i="15" s="1"/>
  <c r="Q42" i="15" s="1"/>
  <c r="R42" i="15" s="1"/>
  <c r="AC27" i="16"/>
  <c r="AD27" i="16" s="1"/>
  <c r="AE27" i="16"/>
  <c r="G23" i="15"/>
  <c r="N11" i="3"/>
  <c r="O11" i="3" s="1"/>
  <c r="P11" i="3" s="1"/>
  <c r="Q11" i="3" s="1"/>
  <c r="R11" i="3" s="1"/>
  <c r="N48" i="16"/>
  <c r="O48" i="16" s="1"/>
  <c r="P48" i="16" s="1"/>
  <c r="Q48" i="16" s="1"/>
  <c r="R48" i="16" s="1"/>
  <c r="AE25" i="15"/>
  <c r="AC25" i="15"/>
  <c r="AD25" i="15" s="1"/>
  <c r="N26" i="5"/>
  <c r="O26" i="5" s="1"/>
  <c r="P26" i="5" s="1"/>
  <c r="Q26" i="5" s="1"/>
  <c r="R26" i="5" s="1"/>
  <c r="J25" i="7"/>
  <c r="V22" i="3"/>
  <c r="N8" i="4"/>
  <c r="O8" i="4" s="1"/>
  <c r="P8" i="4" s="1"/>
  <c r="Q8" i="4" s="1"/>
  <c r="R8" i="4" s="1"/>
  <c r="N5" i="4"/>
  <c r="O5" i="4" s="1"/>
  <c r="P5" i="4" s="1"/>
  <c r="Q5" i="4" s="1"/>
  <c r="R5" i="4" s="1"/>
  <c r="AC28" i="15"/>
  <c r="AD28" i="15" s="1"/>
  <c r="AE28" i="15"/>
  <c r="AE22" i="5"/>
  <c r="AC22" i="5"/>
  <c r="AD22" i="5" s="1"/>
  <c r="AC20" i="16"/>
  <c r="AD20" i="16" s="1"/>
  <c r="AE20" i="16"/>
  <c r="H7" i="3"/>
  <c r="I6" i="3"/>
  <c r="N23" i="5"/>
  <c r="V22" i="15"/>
  <c r="J28" i="7"/>
  <c r="H36" i="7"/>
  <c r="G36" i="7" s="1"/>
  <c r="W23" i="4"/>
  <c r="O22" i="15"/>
  <c r="P22" i="15" s="1"/>
  <c r="Q22" i="15" s="1"/>
  <c r="R22" i="15" s="1"/>
  <c r="O50" i="16"/>
  <c r="I6" i="4"/>
  <c r="H7" i="4"/>
  <c r="O12" i="4"/>
  <c r="N25" i="5"/>
  <c r="O25" i="5" s="1"/>
  <c r="P25" i="5" s="1"/>
  <c r="Q25" i="5" s="1"/>
  <c r="R25" i="5" s="1"/>
  <c r="N49" i="3"/>
  <c r="O49" i="3" s="1"/>
  <c r="P49" i="3" s="1"/>
  <c r="Q49" i="3" s="1"/>
  <c r="R49" i="3" s="1"/>
  <c r="N43" i="3"/>
  <c r="O43" i="3" s="1"/>
  <c r="P43" i="3" s="1"/>
  <c r="Q43" i="3" s="1"/>
  <c r="R43" i="3" s="1"/>
  <c r="N45" i="3"/>
  <c r="O45" i="3" s="1"/>
  <c r="P45" i="3" s="1"/>
  <c r="Q45" i="3" s="1"/>
  <c r="R45" i="3" s="1"/>
  <c r="N27" i="5"/>
  <c r="O27" i="5" s="1"/>
  <c r="P27" i="5" s="1"/>
  <c r="Q27" i="5" s="1"/>
  <c r="R27" i="5" s="1"/>
  <c r="I6" i="5"/>
  <c r="H7" i="5"/>
  <c r="AE20" i="5"/>
  <c r="AC20" i="5"/>
  <c r="AD20" i="5" s="1"/>
  <c r="O23" i="16"/>
  <c r="P23" i="16" s="1"/>
  <c r="Q23" i="16" s="1"/>
  <c r="R23" i="16" s="1"/>
  <c r="G23" i="16"/>
  <c r="O22" i="3"/>
  <c r="P22" i="3" s="1"/>
  <c r="Q22" i="3" s="1"/>
  <c r="R22" i="3" s="1"/>
  <c r="P29" i="3"/>
  <c r="O31" i="3"/>
  <c r="L24" i="3" s="1"/>
  <c r="N11" i="5"/>
  <c r="O11" i="5" s="1"/>
  <c r="P11" i="5" s="1"/>
  <c r="Q11" i="5" s="1"/>
  <c r="R11" i="5" s="1"/>
  <c r="N12" i="5"/>
  <c r="AE28" i="4"/>
  <c r="AC28" i="4"/>
  <c r="AD28" i="4" s="1"/>
  <c r="O12" i="16"/>
  <c r="N14" i="16"/>
  <c r="AE19" i="16"/>
  <c r="AC19" i="16"/>
  <c r="AD19" i="16" s="1"/>
  <c r="AC22" i="15"/>
  <c r="AD22" i="15" s="1"/>
  <c r="AE22" i="15"/>
  <c r="N52" i="5"/>
  <c r="H39" i="7"/>
  <c r="G39" i="7" s="1"/>
  <c r="W23" i="16"/>
  <c r="N28" i="5"/>
  <c r="O28" i="5" s="1"/>
  <c r="P28" i="5" s="1"/>
  <c r="Q28" i="5" s="1"/>
  <c r="R28" i="5" s="1"/>
  <c r="N6" i="5"/>
  <c r="O6" i="5" s="1"/>
  <c r="P6" i="5" s="1"/>
  <c r="Q6" i="5" s="1"/>
  <c r="R6" i="5" s="1"/>
  <c r="U22" i="15"/>
  <c r="J18" i="7"/>
  <c r="N12" i="3"/>
  <c r="H46" i="5"/>
  <c r="I45" i="5"/>
  <c r="I26" i="3"/>
  <c r="H27" i="3"/>
  <c r="G17" i="7"/>
  <c r="U19" i="5"/>
  <c r="AE19" i="15"/>
  <c r="AC19" i="15"/>
  <c r="AD19" i="15" s="1"/>
  <c r="N5" i="5"/>
  <c r="O5" i="5" s="1"/>
  <c r="P5" i="5" s="1"/>
  <c r="Q5" i="5" s="1"/>
  <c r="R5" i="5" s="1"/>
  <c r="H10" i="15"/>
  <c r="I9" i="15"/>
  <c r="N50" i="15"/>
  <c r="N5" i="3"/>
  <c r="O5" i="3" s="1"/>
  <c r="P5" i="3" s="1"/>
  <c r="Q5" i="3" s="1"/>
  <c r="R5" i="3" s="1"/>
  <c r="N43" i="16"/>
  <c r="O43" i="16" s="1"/>
  <c r="P43" i="16" s="1"/>
  <c r="Q43" i="16" s="1"/>
  <c r="R43" i="16" s="1"/>
  <c r="U19" i="4"/>
  <c r="G16" i="7"/>
  <c r="O29" i="4"/>
  <c r="W25" i="5"/>
  <c r="J37" i="7"/>
  <c r="N8" i="5"/>
  <c r="O8" i="5" s="1"/>
  <c r="P8" i="5" s="1"/>
  <c r="Q8" i="5" s="1"/>
  <c r="R8" i="5" s="1"/>
  <c r="O29" i="16"/>
  <c r="N31" i="16"/>
  <c r="L23" i="16" s="1"/>
  <c r="AC27" i="15"/>
  <c r="AD27" i="15" s="1"/>
  <c r="AE27" i="15"/>
  <c r="N47" i="3"/>
  <c r="O47" i="3" s="1"/>
  <c r="P47" i="3" s="1"/>
  <c r="Q47" i="3" s="1"/>
  <c r="R47" i="3" s="1"/>
  <c r="N46" i="15"/>
  <c r="O46" i="15" s="1"/>
  <c r="P46" i="15" s="1"/>
  <c r="Q46" i="15" s="1"/>
  <c r="R46" i="15" s="1"/>
  <c r="AC20" i="4"/>
  <c r="AD20" i="4" s="1"/>
  <c r="AE20" i="4"/>
  <c r="N45" i="16"/>
  <c r="O45" i="16" s="1"/>
  <c r="P45" i="16" s="1"/>
  <c r="Q45" i="16" s="1"/>
  <c r="R45" i="16" s="1"/>
  <c r="AC28" i="16"/>
  <c r="AD28" i="16" s="1"/>
  <c r="AE28" i="16"/>
  <c r="AE27" i="4"/>
  <c r="AC27" i="4"/>
  <c r="AD27" i="4" s="1"/>
  <c r="Q54" i="7"/>
  <c r="N52" i="4"/>
  <c r="AC22" i="4"/>
  <c r="AD22" i="4" s="1"/>
  <c r="AE22" i="4"/>
  <c r="N49" i="16"/>
  <c r="O49" i="16" s="1"/>
  <c r="P49" i="16" s="1"/>
  <c r="Q49" i="16" s="1"/>
  <c r="R49" i="16" s="1"/>
  <c r="M19" i="7" l="1"/>
  <c r="U25" i="16"/>
  <c r="U26" i="16" s="1"/>
  <c r="U27" i="16" s="1"/>
  <c r="U28" i="16" s="1"/>
  <c r="U29" i="16" s="1"/>
  <c r="I25" i="5"/>
  <c r="H26" i="5"/>
  <c r="N31" i="4"/>
  <c r="L23" i="4" s="1"/>
  <c r="G22" i="15"/>
  <c r="H26" i="16"/>
  <c r="I25" i="16"/>
  <c r="H44" i="3"/>
  <c r="I43" i="3"/>
  <c r="V22" i="4"/>
  <c r="J26" i="7"/>
  <c r="N52" i="16"/>
  <c r="L44" i="16" s="1"/>
  <c r="O41" i="16" s="1"/>
  <c r="L19" i="7"/>
  <c r="U24" i="16"/>
  <c r="G22" i="3"/>
  <c r="G23" i="4"/>
  <c r="V21" i="16"/>
  <c r="I29" i="7"/>
  <c r="W23" i="3"/>
  <c r="H35" i="7"/>
  <c r="G35" i="7" s="1"/>
  <c r="H27" i="4"/>
  <c r="I26" i="4"/>
  <c r="V21" i="5"/>
  <c r="I27" i="7"/>
  <c r="N14" i="4"/>
  <c r="AD31" i="5"/>
  <c r="AE31" i="5" s="1"/>
  <c r="M47" i="7" s="1"/>
  <c r="AD31" i="16"/>
  <c r="AE31" i="16" s="1"/>
  <c r="M49" i="7" s="1"/>
  <c r="H47" i="5"/>
  <c r="I46" i="5"/>
  <c r="P50" i="5"/>
  <c r="N52" i="3"/>
  <c r="H8" i="5"/>
  <c r="I7" i="5"/>
  <c r="L6" i="4"/>
  <c r="K28" i="7"/>
  <c r="V23" i="15"/>
  <c r="L44" i="4"/>
  <c r="O41" i="4" s="1"/>
  <c r="O12" i="3"/>
  <c r="N14" i="3"/>
  <c r="L44" i="5"/>
  <c r="O41" i="5" s="1"/>
  <c r="P41" i="5" s="1"/>
  <c r="Q41" i="5" s="1"/>
  <c r="R41" i="5" s="1"/>
  <c r="P50" i="3"/>
  <c r="H17" i="7"/>
  <c r="U20" i="5"/>
  <c r="I7" i="4"/>
  <c r="H8" i="4"/>
  <c r="N14" i="15"/>
  <c r="O12" i="15"/>
  <c r="H28" i="15"/>
  <c r="I28" i="15" s="1"/>
  <c r="I27" i="15"/>
  <c r="O12" i="5"/>
  <c r="N14" i="5"/>
  <c r="U20" i="4"/>
  <c r="H16" i="7"/>
  <c r="H15" i="7"/>
  <c r="U20" i="3"/>
  <c r="Q50" i="4"/>
  <c r="H11" i="15"/>
  <c r="I11" i="15" s="1"/>
  <c r="I10" i="15"/>
  <c r="I27" i="3"/>
  <c r="H28" i="3"/>
  <c r="I28" i="3" s="1"/>
  <c r="P31" i="3"/>
  <c r="L25" i="3" s="1"/>
  <c r="Q29" i="3"/>
  <c r="H8" i="3"/>
  <c r="I7" i="3"/>
  <c r="G23" i="3"/>
  <c r="O29" i="5"/>
  <c r="N31" i="5"/>
  <c r="L23" i="5" s="1"/>
  <c r="O23" i="5"/>
  <c r="P23" i="5" s="1"/>
  <c r="Q23" i="5" s="1"/>
  <c r="R23" i="5" s="1"/>
  <c r="H45" i="15"/>
  <c r="I44" i="15"/>
  <c r="L6" i="16"/>
  <c r="W24" i="16"/>
  <c r="I39" i="7"/>
  <c r="I44" i="4"/>
  <c r="H45" i="4"/>
  <c r="I38" i="7"/>
  <c r="W24" i="15"/>
  <c r="O50" i="15"/>
  <c r="N52" i="15"/>
  <c r="AD31" i="4"/>
  <c r="AE31" i="4" s="1"/>
  <c r="M46" i="7" s="1"/>
  <c r="U23" i="15"/>
  <c r="K18" i="7"/>
  <c r="P50" i="16"/>
  <c r="P29" i="4"/>
  <c r="O31" i="4"/>
  <c r="L24" i="4" s="1"/>
  <c r="K25" i="7"/>
  <c r="V23" i="3"/>
  <c r="P29" i="16"/>
  <c r="O31" i="16"/>
  <c r="L24" i="16" s="1"/>
  <c r="AD31" i="15"/>
  <c r="AE31" i="15" s="1"/>
  <c r="M48" i="7" s="1"/>
  <c r="K37" i="7"/>
  <c r="W26" i="5"/>
  <c r="P12" i="16"/>
  <c r="O14" i="16"/>
  <c r="L7" i="16" s="1"/>
  <c r="P12" i="4"/>
  <c r="O14" i="4"/>
  <c r="L7" i="4" s="1"/>
  <c r="H45" i="16"/>
  <c r="I44" i="16"/>
  <c r="P29" i="15"/>
  <c r="O31" i="15"/>
  <c r="L24" i="15" s="1"/>
  <c r="I36" i="7"/>
  <c r="W24" i="4"/>
  <c r="O52" i="5" l="1"/>
  <c r="L45" i="5" s="1"/>
  <c r="P41" i="16"/>
  <c r="Q41" i="16" s="1"/>
  <c r="R41" i="16" s="1"/>
  <c r="O52" i="16"/>
  <c r="L45" i="16" s="1"/>
  <c r="K26" i="7"/>
  <c r="V23" i="4"/>
  <c r="H27" i="16"/>
  <c r="I26" i="16"/>
  <c r="H27" i="5"/>
  <c r="I26" i="5"/>
  <c r="J29" i="7"/>
  <c r="V22" i="16"/>
  <c r="I27" i="4"/>
  <c r="H28" i="4"/>
  <c r="I28" i="4" s="1"/>
  <c r="I35" i="7"/>
  <c r="W24" i="3"/>
  <c r="V22" i="5"/>
  <c r="J27" i="7"/>
  <c r="H45" i="3"/>
  <c r="I44" i="3"/>
  <c r="U24" i="15"/>
  <c r="L18" i="7"/>
  <c r="U21" i="5"/>
  <c r="I17" i="7"/>
  <c r="Q50" i="16"/>
  <c r="P52" i="16"/>
  <c r="L46" i="16" s="1"/>
  <c r="H9" i="3"/>
  <c r="I8" i="3"/>
  <c r="P12" i="3"/>
  <c r="O14" i="3"/>
  <c r="L7" i="3" s="1"/>
  <c r="H9" i="5"/>
  <c r="I8" i="5"/>
  <c r="W25" i="16"/>
  <c r="J39" i="7"/>
  <c r="V24" i="3"/>
  <c r="L25" i="7"/>
  <c r="H9" i="4"/>
  <c r="I8" i="4"/>
  <c r="L6" i="5"/>
  <c r="O14" i="5"/>
  <c r="L7" i="5" s="1"/>
  <c r="P12" i="5"/>
  <c r="Q50" i="3"/>
  <c r="H46" i="4"/>
  <c r="I45" i="4"/>
  <c r="J38" i="7"/>
  <c r="W25" i="15"/>
  <c r="P29" i="5"/>
  <c r="O31" i="5"/>
  <c r="L24" i="5" s="1"/>
  <c r="Q31" i="3"/>
  <c r="L26" i="3" s="1"/>
  <c r="R29" i="3"/>
  <c r="R31" i="3" s="1"/>
  <c r="M28" i="7"/>
  <c r="V25" i="15"/>
  <c r="V26" i="15" s="1"/>
  <c r="V27" i="15" s="1"/>
  <c r="V28" i="15" s="1"/>
  <c r="V29" i="15" s="1"/>
  <c r="P52" i="5"/>
  <c r="Q50" i="5"/>
  <c r="L6" i="3"/>
  <c r="P31" i="16"/>
  <c r="L25" i="16" s="1"/>
  <c r="Q29" i="16"/>
  <c r="Q12" i="4"/>
  <c r="P14" i="4"/>
  <c r="R50" i="4"/>
  <c r="Q29" i="4"/>
  <c r="P31" i="4"/>
  <c r="L25" i="4" s="1"/>
  <c r="L44" i="15"/>
  <c r="O41" i="15" s="1"/>
  <c r="P41" i="15" s="1"/>
  <c r="Q41" i="15" s="1"/>
  <c r="R41" i="15" s="1"/>
  <c r="W25" i="4"/>
  <c r="J36" i="7"/>
  <c r="I45" i="15"/>
  <c r="H46" i="15"/>
  <c r="O14" i="15"/>
  <c r="L7" i="15" s="1"/>
  <c r="P12" i="15"/>
  <c r="W27" i="5"/>
  <c r="L37" i="7"/>
  <c r="I45" i="16"/>
  <c r="H46" i="16"/>
  <c r="U21" i="3"/>
  <c r="I15" i="7"/>
  <c r="U21" i="4"/>
  <c r="I16" i="7"/>
  <c r="M18" i="7"/>
  <c r="U25" i="15"/>
  <c r="U26" i="15" s="1"/>
  <c r="U27" i="15" s="1"/>
  <c r="U28" i="15" s="1"/>
  <c r="U29" i="15" s="1"/>
  <c r="L44" i="3"/>
  <c r="O41" i="3" s="1"/>
  <c r="V24" i="15"/>
  <c r="L28" i="7"/>
  <c r="Q12" i="16"/>
  <c r="P14" i="16"/>
  <c r="P31" i="15"/>
  <c r="L25" i="15" s="1"/>
  <c r="Q29" i="15"/>
  <c r="P50" i="15"/>
  <c r="O52" i="15"/>
  <c r="L45" i="15" s="1"/>
  <c r="G23" i="5"/>
  <c r="V25" i="3"/>
  <c r="V26" i="3" s="1"/>
  <c r="V27" i="3" s="1"/>
  <c r="V28" i="3" s="1"/>
  <c r="V29" i="3" s="1"/>
  <c r="M25" i="7"/>
  <c r="L6" i="15"/>
  <c r="P41" i="4"/>
  <c r="O52" i="4"/>
  <c r="H48" i="5"/>
  <c r="I47" i="5"/>
  <c r="H28" i="16" l="1"/>
  <c r="I28" i="16" s="1"/>
  <c r="I27" i="16"/>
  <c r="V25" i="4"/>
  <c r="V26" i="4" s="1"/>
  <c r="V27" i="4" s="1"/>
  <c r="V28" i="4" s="1"/>
  <c r="V29" i="4" s="1"/>
  <c r="M26" i="7"/>
  <c r="V23" i="16"/>
  <c r="K29" i="7"/>
  <c r="H28" i="5"/>
  <c r="I28" i="5" s="1"/>
  <c r="I27" i="5"/>
  <c r="W25" i="3"/>
  <c r="J35" i="7"/>
  <c r="V23" i="5"/>
  <c r="K27" i="7"/>
  <c r="V24" i="4"/>
  <c r="L26" i="7"/>
  <c r="I45" i="3"/>
  <c r="H46" i="3"/>
  <c r="W26" i="15"/>
  <c r="K38" i="7"/>
  <c r="L8" i="4"/>
  <c r="L46" i="5"/>
  <c r="I46" i="4"/>
  <c r="H47" i="4"/>
  <c r="H10" i="4"/>
  <c r="I9" i="4"/>
  <c r="U22" i="3"/>
  <c r="J15" i="7"/>
  <c r="W28" i="5"/>
  <c r="M37" i="7"/>
  <c r="Q50" i="15"/>
  <c r="P52" i="15"/>
  <c r="R29" i="4"/>
  <c r="R31" i="4" s="1"/>
  <c r="Q31" i="4"/>
  <c r="L26" i="4" s="1"/>
  <c r="Q14" i="4"/>
  <c r="R12" i="4"/>
  <c r="R14" i="4" s="1"/>
  <c r="G6" i="4" s="1"/>
  <c r="Q29" i="5"/>
  <c r="P31" i="5"/>
  <c r="L25" i="5" s="1"/>
  <c r="H10" i="3"/>
  <c r="I9" i="3"/>
  <c r="L8" i="16"/>
  <c r="H47" i="16"/>
  <c r="I46" i="16"/>
  <c r="L45" i="4"/>
  <c r="R12" i="16"/>
  <c r="R14" i="16" s="1"/>
  <c r="Q14" i="16"/>
  <c r="G9" i="16" s="1"/>
  <c r="W26" i="16"/>
  <c r="K39" i="7"/>
  <c r="R29" i="16"/>
  <c r="R31" i="16" s="1"/>
  <c r="Q31" i="16"/>
  <c r="L26" i="16" s="1"/>
  <c r="R50" i="3"/>
  <c r="H10" i="5"/>
  <c r="I9" i="5"/>
  <c r="P41" i="3"/>
  <c r="O52" i="3"/>
  <c r="R50" i="16"/>
  <c r="R52" i="16" s="1"/>
  <c r="Q52" i="16"/>
  <c r="Q12" i="15"/>
  <c r="P14" i="15"/>
  <c r="Q41" i="4"/>
  <c r="P52" i="4"/>
  <c r="L46" i="4" s="1"/>
  <c r="H49" i="5"/>
  <c r="I49" i="5" s="1"/>
  <c r="I48" i="5"/>
  <c r="R29" i="15"/>
  <c r="R31" i="15" s="1"/>
  <c r="Q31" i="15"/>
  <c r="L26" i="15" s="1"/>
  <c r="P14" i="5"/>
  <c r="Q12" i="5"/>
  <c r="J17" i="7"/>
  <c r="U22" i="5"/>
  <c r="I46" i="15"/>
  <c r="H47" i="15"/>
  <c r="R50" i="5"/>
  <c r="R52" i="5" s="1"/>
  <c r="G46" i="5" s="1"/>
  <c r="Q52" i="5"/>
  <c r="W26" i="4"/>
  <c r="K36" i="7"/>
  <c r="J16" i="7"/>
  <c r="U22" i="4"/>
  <c r="Q12" i="3"/>
  <c r="P14" i="3"/>
  <c r="G27" i="4" l="1"/>
  <c r="G43" i="16"/>
  <c r="G11" i="16"/>
  <c r="G29" i="4"/>
  <c r="G47" i="5"/>
  <c r="G42" i="16"/>
  <c r="G44" i="5"/>
  <c r="V24" i="5"/>
  <c r="L27" i="7"/>
  <c r="V25" i="5"/>
  <c r="V26" i="5" s="1"/>
  <c r="V27" i="5" s="1"/>
  <c r="V28" i="5" s="1"/>
  <c r="V29" i="5" s="1"/>
  <c r="M27" i="7"/>
  <c r="H47" i="3"/>
  <c r="I46" i="3"/>
  <c r="W26" i="3"/>
  <c r="K35" i="7"/>
  <c r="G24" i="4"/>
  <c r="L29" i="7"/>
  <c r="V24" i="16"/>
  <c r="M29" i="7"/>
  <c r="V25" i="16"/>
  <c r="V26" i="16" s="1"/>
  <c r="V27" i="16" s="1"/>
  <c r="V28" i="16" s="1"/>
  <c r="V29" i="16" s="1"/>
  <c r="R12" i="5"/>
  <c r="R14" i="5" s="1"/>
  <c r="Q14" i="5"/>
  <c r="G5" i="5" s="1"/>
  <c r="L46" i="15"/>
  <c r="G50" i="15"/>
  <c r="Q14" i="3"/>
  <c r="L9" i="3" s="1"/>
  <c r="R12" i="3"/>
  <c r="R14" i="3" s="1"/>
  <c r="G26" i="3" s="1"/>
  <c r="G25" i="16"/>
  <c r="G29" i="16"/>
  <c r="K15" i="7"/>
  <c r="U23" i="3"/>
  <c r="G10" i="4"/>
  <c r="G11" i="4"/>
  <c r="G25" i="4"/>
  <c r="G6" i="16"/>
  <c r="R41" i="4"/>
  <c r="R52" i="4" s="1"/>
  <c r="Q52" i="4"/>
  <c r="Q41" i="3"/>
  <c r="P52" i="3"/>
  <c r="L46" i="3" s="1"/>
  <c r="H11" i="3"/>
  <c r="I11" i="3" s="1"/>
  <c r="I10" i="3"/>
  <c r="L9" i="4"/>
  <c r="G5" i="4"/>
  <c r="G9" i="4"/>
  <c r="G28" i="4"/>
  <c r="G8" i="4"/>
  <c r="H48" i="4"/>
  <c r="I47" i="4"/>
  <c r="R29" i="5"/>
  <c r="R31" i="5" s="1"/>
  <c r="Q31" i="5"/>
  <c r="L26" i="5" s="1"/>
  <c r="L47" i="5"/>
  <c r="G45" i="5"/>
  <c r="G49" i="5"/>
  <c r="G50" i="5"/>
  <c r="G42" i="5"/>
  <c r="I47" i="16"/>
  <c r="H48" i="16"/>
  <c r="G9" i="5"/>
  <c r="G24" i="16"/>
  <c r="G50" i="16"/>
  <c r="G41" i="16"/>
  <c r="G48" i="15"/>
  <c r="G49" i="16"/>
  <c r="G10" i="16"/>
  <c r="G5" i="16"/>
  <c r="G41" i="5"/>
  <c r="L8" i="3"/>
  <c r="G27" i="3"/>
  <c r="G45" i="16"/>
  <c r="G47" i="16"/>
  <c r="W27" i="16"/>
  <c r="L39" i="7"/>
  <c r="G7" i="16"/>
  <c r="L45" i="3"/>
  <c r="W27" i="4"/>
  <c r="L36" i="7"/>
  <c r="I47" i="15"/>
  <c r="H48" i="15"/>
  <c r="L8" i="15"/>
  <c r="W27" i="15"/>
  <c r="L38" i="7"/>
  <c r="G44" i="16"/>
  <c r="W30" i="5"/>
  <c r="O37" i="7"/>
  <c r="R12" i="15"/>
  <c r="R14" i="15" s="1"/>
  <c r="Q14" i="15"/>
  <c r="L9" i="15" s="1"/>
  <c r="U23" i="5"/>
  <c r="K17" i="7"/>
  <c r="G8" i="16"/>
  <c r="G26" i="4"/>
  <c r="G7" i="4"/>
  <c r="K16" i="7"/>
  <c r="U23" i="4"/>
  <c r="G48" i="5"/>
  <c r="L8" i="5"/>
  <c r="G25" i="5"/>
  <c r="G6" i="5"/>
  <c r="G26" i="5"/>
  <c r="Q52" i="15"/>
  <c r="L47" i="15" s="1"/>
  <c r="R50" i="15"/>
  <c r="R52" i="15" s="1"/>
  <c r="G27" i="16"/>
  <c r="G46" i="15"/>
  <c r="G10" i="5"/>
  <c r="N37" i="7"/>
  <c r="W29" i="5"/>
  <c r="G28" i="16"/>
  <c r="L47" i="16"/>
  <c r="G46" i="16"/>
  <c r="I10" i="5"/>
  <c r="H11" i="5"/>
  <c r="I11" i="5" s="1"/>
  <c r="L9" i="16"/>
  <c r="G26" i="16"/>
  <c r="G48" i="16"/>
  <c r="G12" i="4"/>
  <c r="I10" i="4"/>
  <c r="H11" i="4"/>
  <c r="I11" i="4" s="1"/>
  <c r="G43" i="5"/>
  <c r="G12" i="16"/>
  <c r="G8" i="5" l="1"/>
  <c r="G12" i="5"/>
  <c r="G24" i="5"/>
  <c r="G11" i="5"/>
  <c r="G28" i="5"/>
  <c r="G30" i="4"/>
  <c r="G7" i="3"/>
  <c r="G43" i="15"/>
  <c r="G47" i="4"/>
  <c r="L35" i="7"/>
  <c r="W27" i="3"/>
  <c r="H48" i="3"/>
  <c r="I47" i="3"/>
  <c r="G29" i="5"/>
  <c r="G41" i="15"/>
  <c r="G42" i="15"/>
  <c r="L17" i="7"/>
  <c r="U24" i="5"/>
  <c r="W28" i="15"/>
  <c r="M38" i="7"/>
  <c r="G8" i="3"/>
  <c r="I48" i="16"/>
  <c r="H49" i="16"/>
  <c r="I49" i="16" s="1"/>
  <c r="G10" i="15"/>
  <c r="G49" i="4"/>
  <c r="G5" i="15"/>
  <c r="L16" i="7"/>
  <c r="U24" i="4"/>
  <c r="M17" i="7"/>
  <c r="U25" i="5"/>
  <c r="U26" i="5" s="1"/>
  <c r="U27" i="5" s="1"/>
  <c r="U28" i="5" s="1"/>
  <c r="U29" i="5" s="1"/>
  <c r="G24" i="15"/>
  <c r="H49" i="15"/>
  <c r="I49" i="15" s="1"/>
  <c r="I48" i="15"/>
  <c r="G12" i="3"/>
  <c r="G25" i="3"/>
  <c r="G30" i="16"/>
  <c r="G28" i="15"/>
  <c r="G25" i="15"/>
  <c r="R41" i="3"/>
  <c r="R52" i="3" s="1"/>
  <c r="Q52" i="3"/>
  <c r="G45" i="3" s="1"/>
  <c r="G5" i="3"/>
  <c r="W28" i="16"/>
  <c r="M39" i="7"/>
  <c r="L47" i="4"/>
  <c r="G41" i="4"/>
  <c r="G50" i="4"/>
  <c r="G11" i="15"/>
  <c r="G24" i="3"/>
  <c r="G44" i="4"/>
  <c r="G45" i="15"/>
  <c r="G26" i="15"/>
  <c r="G7" i="15"/>
  <c r="G10" i="3"/>
  <c r="G11" i="3"/>
  <c r="H49" i="4"/>
  <c r="I49" i="4" s="1"/>
  <c r="I48" i="4"/>
  <c r="G42" i="4"/>
  <c r="G47" i="15"/>
  <c r="L9" i="5"/>
  <c r="G27" i="5"/>
  <c r="G30" i="5" s="1"/>
  <c r="G29" i="15"/>
  <c r="U24" i="3"/>
  <c r="L15" i="7"/>
  <c r="M36" i="7"/>
  <c r="W28" i="4"/>
  <c r="G43" i="4"/>
  <c r="G45" i="4"/>
  <c r="G12" i="15"/>
  <c r="G8" i="15"/>
  <c r="G28" i="3"/>
  <c r="G29" i="3"/>
  <c r="G13" i="16"/>
  <c r="G51" i="5"/>
  <c r="G46" i="4"/>
  <c r="G13" i="4"/>
  <c r="G9" i="15"/>
  <c r="G27" i="15"/>
  <c r="G48" i="4"/>
  <c r="M15" i="7"/>
  <c r="U25" i="3"/>
  <c r="U26" i="3" s="1"/>
  <c r="U27" i="3" s="1"/>
  <c r="U28" i="3" s="1"/>
  <c r="U29" i="3" s="1"/>
  <c r="M16" i="7"/>
  <c r="U25" i="4"/>
  <c r="U26" i="4" s="1"/>
  <c r="U27" i="4" s="1"/>
  <c r="U28" i="4" s="1"/>
  <c r="U29" i="4" s="1"/>
  <c r="G6" i="15"/>
  <c r="G44" i="15"/>
  <c r="G9" i="3"/>
  <c r="G6" i="3"/>
  <c r="G13" i="5"/>
  <c r="G51" i="16"/>
  <c r="G49" i="15"/>
  <c r="G7" i="5"/>
  <c r="G46" i="3" l="1"/>
  <c r="G41" i="3"/>
  <c r="G49" i="3"/>
  <c r="G47" i="3"/>
  <c r="G50" i="3"/>
  <c r="G43" i="3"/>
  <c r="G51" i="15"/>
  <c r="G44" i="3"/>
  <c r="G48" i="3"/>
  <c r="H49" i="3"/>
  <c r="I49" i="3" s="1"/>
  <c r="I48" i="3"/>
  <c r="W28" i="3"/>
  <c r="M35" i="7"/>
  <c r="W29" i="4"/>
  <c r="N36" i="7"/>
  <c r="W30" i="16"/>
  <c r="O39" i="7"/>
  <c r="O36" i="7"/>
  <c r="W30" i="4"/>
  <c r="G30" i="3"/>
  <c r="L47" i="3"/>
  <c r="G42" i="3"/>
  <c r="N38" i="7"/>
  <c r="W29" i="15"/>
  <c r="G13" i="15"/>
  <c r="W30" i="15"/>
  <c r="O38" i="7"/>
  <c r="N39" i="7"/>
  <c r="W29" i="16"/>
  <c r="G13" i="3"/>
  <c r="G51" i="4"/>
  <c r="G30" i="15"/>
  <c r="G51" i="3" l="1"/>
  <c r="W29" i="3"/>
  <c r="N35" i="7"/>
  <c r="W30" i="3"/>
  <c r="O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K5" authorId="0" shapeId="0" xr:uid="{00000000-0006-0000-0200-00000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6" authorId="0" shapeId="0" xr:uid="{00000000-0006-0000-0200-00000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7" authorId="0" shapeId="0" xr:uid="{00000000-0006-0000-0200-000006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8" authorId="0" shapeId="0" xr:uid="{00000000-0006-0000-0200-000008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9" authorId="0" shapeId="0" xr:uid="{00000000-0006-0000-0200-00000A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2" authorId="0" shapeId="0" xr:uid="{00000000-0006-0000-0200-00000F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3" authorId="0" shapeId="0" xr:uid="{00000000-0006-0000-0200-00001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4" authorId="0" shapeId="0" xr:uid="{00000000-0006-0000-0200-00001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5" authorId="0" shapeId="0" xr:uid="{00000000-0006-0000-0200-000015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6" authorId="0" shapeId="0" xr:uid="{00000000-0006-0000-0200-000017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3" authorId="0" shapeId="0" xr:uid="{00000000-0006-0000-0200-00001D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4" authorId="0" shapeId="0" xr:uid="{00000000-0006-0000-0200-00001F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5" authorId="0" shapeId="0" xr:uid="{00000000-0006-0000-0200-000020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6" authorId="0" shapeId="0" xr:uid="{00000000-0006-0000-0200-00002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7" authorId="0" shapeId="0" xr:uid="{00000000-0006-0000-0200-00002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sharedStrings.xml><?xml version="1.0" encoding="utf-8"?>
<sst xmlns="http://schemas.openxmlformats.org/spreadsheetml/2006/main" count="995" uniqueCount="295">
  <si>
    <t xml:space="preserve">Report No.:  </t>
  </si>
  <si>
    <t xml:space="preserve">Date This Report:  </t>
  </si>
  <si>
    <t xml:space="preserve">Date Last Report:  </t>
  </si>
  <si>
    <t xml:space="preserve">Project No.:  </t>
  </si>
  <si>
    <t xml:space="preserve">Mix ID:  </t>
  </si>
  <si>
    <t xml:space="preserve">Plant Name and Location:  </t>
  </si>
  <si>
    <t xml:space="preserve">Contractor:  </t>
  </si>
  <si>
    <t xml:space="preserve">Contract ID:  </t>
  </si>
  <si>
    <t xml:space="preserve">County:  </t>
  </si>
  <si>
    <t xml:space="preserve">Coarse Aggregate    T-203 A #:  </t>
  </si>
  <si>
    <t xml:space="preserve">Fine Aggregate   T-203 A #:  </t>
  </si>
  <si>
    <t xml:space="preserve">Plant Monitor's Name:  </t>
  </si>
  <si>
    <t xml:space="preserve">Plant Monitor's Certification No.:  </t>
  </si>
  <si>
    <t>Coarse</t>
  </si>
  <si>
    <t>Intermediate</t>
  </si>
  <si>
    <t>Fine</t>
  </si>
  <si>
    <t>Aggregate</t>
  </si>
  <si>
    <t>#200</t>
  </si>
  <si>
    <t xml:space="preserve">Project No.: </t>
  </si>
  <si>
    <t xml:space="preserve">Contract ID: </t>
  </si>
  <si>
    <t xml:space="preserve">Report No.: </t>
  </si>
  <si>
    <t xml:space="preserve">Plant Name: </t>
  </si>
  <si>
    <t xml:space="preserve">County: </t>
  </si>
  <si>
    <t xml:space="preserve">Date This Report: </t>
  </si>
  <si>
    <t xml:space="preserve">Date Of Last Report: </t>
  </si>
  <si>
    <t>Central</t>
  </si>
  <si>
    <t>Paving</t>
  </si>
  <si>
    <t>Total</t>
  </si>
  <si>
    <t>Remarks</t>
  </si>
  <si>
    <t xml:space="preserve">Monitor: </t>
  </si>
  <si>
    <t>COARSE   SAMPLE</t>
  </si>
  <si>
    <t xml:space="preserve">   Sieve Accuracy= </t>
  </si>
  <si>
    <t>%</t>
  </si>
  <si>
    <t>% Retd.</t>
  </si>
  <si>
    <t>% Pass</t>
  </si>
  <si>
    <t>% Final</t>
  </si>
  <si>
    <t>Specs</t>
  </si>
  <si>
    <t>W</t>
  </si>
  <si>
    <t>A</t>
  </si>
  <si>
    <t xml:space="preserve">  Pan   </t>
  </si>
  <si>
    <t>S</t>
  </si>
  <si>
    <t xml:space="preserve">  Wash Loss   </t>
  </si>
  <si>
    <t>H</t>
  </si>
  <si>
    <t xml:space="preserve">  Total   </t>
  </si>
  <si>
    <t>INTERMEDIATE   SAMPLE</t>
  </si>
  <si>
    <t xml:space="preserve">Sieve Accuracy= </t>
  </si>
  <si>
    <t>FINE  SAMPLE</t>
  </si>
  <si>
    <t xml:space="preserve">   Pan  </t>
  </si>
  <si>
    <t xml:space="preserve">   Wash  </t>
  </si>
  <si>
    <t xml:space="preserve">Structures Design Number :  </t>
  </si>
  <si>
    <t>Comply</t>
  </si>
  <si>
    <t>Y/N</t>
  </si>
  <si>
    <t>Ready</t>
  </si>
  <si>
    <t>Structure</t>
  </si>
  <si>
    <t>Incidental</t>
  </si>
  <si>
    <t>Patching</t>
  </si>
  <si>
    <t>Check Mix( x )</t>
  </si>
  <si>
    <t>Check One( x )</t>
  </si>
  <si>
    <t>1 1/2"</t>
  </si>
  <si>
    <t>1"</t>
  </si>
  <si>
    <t>3/4"</t>
  </si>
  <si>
    <t>1/2"</t>
  </si>
  <si>
    <t>3/8"</t>
  </si>
  <si>
    <t>#4</t>
  </si>
  <si>
    <t>#8</t>
  </si>
  <si>
    <t>#16</t>
  </si>
  <si>
    <t>#30</t>
  </si>
  <si>
    <t>#50</t>
  </si>
  <si>
    <t>#100</t>
  </si>
  <si>
    <t>Grad 1</t>
  </si>
  <si>
    <t>Grad 2</t>
  </si>
  <si>
    <t>Grad 3</t>
  </si>
  <si>
    <t>GRADATION 1</t>
  </si>
  <si>
    <t>ENTER</t>
  </si>
  <si>
    <t>Volume of Coarse Aggregate per Cubic Yard</t>
  </si>
  <si>
    <t>Volume of Intermediate Aggregate per Cubic Yard</t>
  </si>
  <si>
    <t>Volume of Fine Aggregate per Cubic Yard</t>
  </si>
  <si>
    <t>Combined</t>
  </si>
  <si>
    <t>CDM</t>
  </si>
  <si>
    <t>Sieve</t>
  </si>
  <si>
    <t>Gradation</t>
  </si>
  <si>
    <t>Target</t>
  </si>
  <si>
    <t>Minimum</t>
  </si>
  <si>
    <t>Maximum</t>
  </si>
  <si>
    <t>Within</t>
  </si>
  <si>
    <t>Size</t>
  </si>
  <si>
    <t>Percent</t>
  </si>
  <si>
    <t>Passing</t>
  </si>
  <si>
    <t>1.5"</t>
  </si>
  <si>
    <t>Gradation 2</t>
  </si>
  <si>
    <t>Gradation 3</t>
  </si>
  <si>
    <t xml:space="preserve">Intermediate Aggregate    T-203 A #:  </t>
  </si>
  <si>
    <t xml:space="preserve">Contractor: </t>
  </si>
  <si>
    <t xml:space="preserve">Structures Des. No: </t>
  </si>
  <si>
    <t xml:space="preserve">Coarse Aggregate Source:  </t>
  </si>
  <si>
    <t xml:space="preserve">Intermediate Aggregate Source:  </t>
  </si>
  <si>
    <t xml:space="preserve">Fine Aggregate Source:  </t>
  </si>
  <si>
    <t>3, 4, 5, 6, or Blank</t>
  </si>
  <si>
    <t>1, 7, or Blank</t>
  </si>
  <si>
    <t>37.5 mm</t>
  </si>
  <si>
    <t>19 mm</t>
  </si>
  <si>
    <t>12.5 mm</t>
  </si>
  <si>
    <t>25 mm</t>
  </si>
  <si>
    <t>9.5 mm</t>
  </si>
  <si>
    <t>4.75 mm</t>
  </si>
  <si>
    <t>2.36 mm</t>
  </si>
  <si>
    <t>75 um</t>
  </si>
  <si>
    <t>1.18 mm</t>
  </si>
  <si>
    <t>600 um</t>
  </si>
  <si>
    <t>300 um</t>
  </si>
  <si>
    <t>150 um</t>
  </si>
  <si>
    <t>Date Sampled</t>
  </si>
  <si>
    <t>Sample ID</t>
  </si>
  <si>
    <t>Agg %</t>
  </si>
  <si>
    <t>Target Gradation</t>
  </si>
  <si>
    <t>FINE AGGREGATE</t>
  </si>
  <si>
    <t>INTERMEDIATE AGGREGATE</t>
  </si>
  <si>
    <t>COARSE AGGREGATE</t>
  </si>
  <si>
    <t>COMBINED AGGREGATE GRADATION</t>
  </si>
  <si>
    <t>AGG %</t>
  </si>
  <si>
    <t>Coarse
ness
Factor</t>
  </si>
  <si>
    <t>Work
ability 
Factor</t>
  </si>
  <si>
    <t>QMC 
PAY
ZONE</t>
  </si>
  <si>
    <t>Lot Average - VERIFICATION</t>
  </si>
  <si>
    <t>Lot Average - CONTRACTOR</t>
  </si>
  <si>
    <t>Gradation 1</t>
  </si>
  <si>
    <t>Gradation 4</t>
  </si>
  <si>
    <t>Gradation 5</t>
  </si>
  <si>
    <t>CF</t>
  </si>
  <si>
    <t>WF</t>
  </si>
  <si>
    <t>GRADATION 2</t>
  </si>
  <si>
    <t>GRADATION 3</t>
  </si>
  <si>
    <t>GRADATION 4</t>
  </si>
  <si>
    <t>GRADATION 5</t>
  </si>
  <si>
    <t>PCC GRADATION TEST REPORT - VERIFICATION</t>
  </si>
  <si>
    <t>Distribution:     _____   DME     _____   Proj. Eng.     _____   Contractor</t>
  </si>
  <si>
    <t>821283 COMPUTER</t>
  </si>
  <si>
    <r>
      <t xml:space="preserve">&lt;=Enter </t>
    </r>
    <r>
      <rPr>
        <b/>
        <sz val="12"/>
        <color indexed="12"/>
        <rFont val="Arial MT"/>
      </rPr>
      <t>2.5</t>
    </r>
    <r>
      <rPr>
        <b/>
        <sz val="12"/>
        <rFont val="Arial MT"/>
      </rPr>
      <t>, if increase in 200 allowed by DME</t>
    </r>
  </si>
  <si>
    <t xml:space="preserve">   Sieve Accuracy = </t>
  </si>
  <si>
    <t xml:space="preserve">Sieve Accuracy = </t>
  </si>
  <si>
    <t xml:space="preserve">SOURCE: </t>
  </si>
  <si>
    <t xml:space="preserve">T-203 A# </t>
  </si>
  <si>
    <t xml:space="preserve">GRAD NO.: </t>
  </si>
  <si>
    <t xml:space="preserve">Mix ID: </t>
  </si>
  <si>
    <t xml:space="preserve">Orig. Dry Weight:  </t>
  </si>
  <si>
    <t xml:space="preserve">Proj. No.:  </t>
  </si>
  <si>
    <t xml:space="preserve">Sample ID:  </t>
  </si>
  <si>
    <t xml:space="preserve">Compies (Y/N)  </t>
  </si>
  <si>
    <t xml:space="preserve">Central Plant (X):  </t>
  </si>
  <si>
    <t xml:space="preserve">Ready Mix (X):  </t>
  </si>
  <si>
    <t xml:space="preserve">Paving (X):  </t>
  </si>
  <si>
    <t xml:space="preserve">Structural (X):  </t>
  </si>
  <si>
    <t xml:space="preserve">Incidental (X):  </t>
  </si>
  <si>
    <t xml:space="preserve">Patching (X):  </t>
  </si>
  <si>
    <t xml:space="preserve">Report Daily (X):  </t>
  </si>
  <si>
    <t xml:space="preserve">Report Weekly (X):  </t>
  </si>
  <si>
    <t xml:space="preserve">Coarse Aggregate Gradation No. :  </t>
  </si>
  <si>
    <t xml:space="preserve">Fine Aggregate Gradation No. :  </t>
  </si>
  <si>
    <t xml:space="preserve">C.A. Specification Limits 1 1/2" Sieve:  </t>
  </si>
  <si>
    <t xml:space="preserve">C.A. Specification Limits 1" Sieve:  </t>
  </si>
  <si>
    <t xml:space="preserve">C.A. Specification Limits 3/4" Sieve:  </t>
  </si>
  <si>
    <t xml:space="preserve">C.A. Specification Limits 1/2" Sieve:  </t>
  </si>
  <si>
    <t xml:space="preserve">C.A. Specification Limits 3/8" Sieve:  </t>
  </si>
  <si>
    <t xml:space="preserve">C.A. Specification Limits #4 Sieve:  </t>
  </si>
  <si>
    <t xml:space="preserve">C.A. Specification Limits #8 Sieve:  </t>
  </si>
  <si>
    <t xml:space="preserve">C.A. Specification Limits #200 Sieve:  </t>
  </si>
  <si>
    <t xml:space="preserve">F.A. Specification Limits 3/8" Sieve:  </t>
  </si>
  <si>
    <t xml:space="preserve">F.A. Specification Limits #4 Sieve:  </t>
  </si>
  <si>
    <t xml:space="preserve">F.A. Specification Limits #8 Sieve:  </t>
  </si>
  <si>
    <t xml:space="preserve">F.A. Specification Limits #30 Sieve:  </t>
  </si>
  <si>
    <t xml:space="preserve">F.A. Specification Limits #200 Sieve:  </t>
  </si>
  <si>
    <t xml:space="preserve">Contractor CF (QMC):  </t>
  </si>
  <si>
    <t xml:space="preserve">Contractor Lot Pay Zone:  </t>
  </si>
  <si>
    <t>A-2</t>
  </si>
  <si>
    <t>A-3</t>
  </si>
  <si>
    <t>A-4</t>
  </si>
  <si>
    <t>A-5</t>
  </si>
  <si>
    <t>A-6</t>
  </si>
  <si>
    <t>A-V</t>
  </si>
  <si>
    <t>A-V47B</t>
  </si>
  <si>
    <t>B-2</t>
  </si>
  <si>
    <t>B-3</t>
  </si>
  <si>
    <t>B-4</t>
  </si>
  <si>
    <t>B-5</t>
  </si>
  <si>
    <t>B-6</t>
  </si>
  <si>
    <t>B-7</t>
  </si>
  <si>
    <t>B-8</t>
  </si>
  <si>
    <t>BR</t>
  </si>
  <si>
    <t>B-V</t>
  </si>
  <si>
    <t>B-V47B</t>
  </si>
  <si>
    <t>C-2</t>
  </si>
  <si>
    <t>C-3</t>
  </si>
  <si>
    <t>C-3WR</t>
  </si>
  <si>
    <t>C-4</t>
  </si>
  <si>
    <t>C-4WR</t>
  </si>
  <si>
    <t>C-5</t>
  </si>
  <si>
    <t>C-5WR</t>
  </si>
  <si>
    <t>C-6</t>
  </si>
  <si>
    <t>C-6WR</t>
  </si>
  <si>
    <t>C-V47BF</t>
  </si>
  <si>
    <t>CV-HPC-D</t>
  </si>
  <si>
    <t>CV-HPC-S</t>
  </si>
  <si>
    <t>D-57</t>
  </si>
  <si>
    <t>D-57-6</t>
  </si>
  <si>
    <t>HPC-D</t>
  </si>
  <si>
    <t>HPC-S</t>
  </si>
  <si>
    <t>M-3</t>
  </si>
  <si>
    <t>M-4</t>
  </si>
  <si>
    <t>M-V</t>
  </si>
  <si>
    <t>O-4WR</t>
  </si>
  <si>
    <t>QMC</t>
  </si>
  <si>
    <t>Cert No.</t>
  </si>
  <si>
    <t xml:space="preserve">Contractor WF (QMC):  </t>
  </si>
  <si>
    <t xml:space="preserve">Enter target number only </t>
  </si>
  <si>
    <t>CW DATA</t>
  </si>
  <si>
    <t>1.5" (37.5)</t>
  </si>
  <si>
    <t>1" (25)</t>
  </si>
  <si>
    <t>3/4" (19)</t>
  </si>
  <si>
    <t>1/2" (12.5)</t>
  </si>
  <si>
    <t>3/8" (9.5)</t>
  </si>
  <si>
    <t>#4 (4.75)</t>
  </si>
  <si>
    <t>#8 (2.36)</t>
  </si>
  <si>
    <t>#16 (1.18)</t>
  </si>
  <si>
    <t>#30 (600)</t>
  </si>
  <si>
    <t>#50 (300)</t>
  </si>
  <si>
    <t>#100 (150)</t>
  </si>
  <si>
    <t>#200 (75)</t>
  </si>
  <si>
    <t>Source</t>
  </si>
  <si>
    <t>A Number</t>
  </si>
  <si>
    <t>Enter Max.</t>
  </si>
  <si>
    <t>T-203 A#</t>
  </si>
  <si>
    <t>Enter aggregate source &amp; A number below, if different than Gradation 1.</t>
  </si>
  <si>
    <t xml:space="preserve">1.5" (37.5mm) Sieve   </t>
  </si>
  <si>
    <t xml:space="preserve">1" (25mm) Sieve   </t>
  </si>
  <si>
    <t xml:space="preserve">3/4" (19mm) Sieve   </t>
  </si>
  <si>
    <t xml:space="preserve">1/2" (12.5mm) Sieve   </t>
  </si>
  <si>
    <t xml:space="preserve">3/8" (9.5mm) Sieve   </t>
  </si>
  <si>
    <t xml:space="preserve">#4 (4.75mm) Sieve   </t>
  </si>
  <si>
    <t xml:space="preserve">#8 (2.36mm) Sieve   </t>
  </si>
  <si>
    <t>Orig. Dry Weight:</t>
  </si>
  <si>
    <t>Dry Wt. Washed:</t>
  </si>
  <si>
    <t>Compies (Y/N)</t>
  </si>
  <si>
    <t xml:space="preserve">Sample ID: </t>
  </si>
  <si>
    <t xml:space="preserve">Orig. Dry Weight: </t>
  </si>
  <si>
    <t xml:space="preserve">Dry Wt. Washed: </t>
  </si>
  <si>
    <t xml:space="preserve">#16 (1.18mm) Sieve   </t>
  </si>
  <si>
    <t xml:space="preserve">#30 (600 µm) Sieve   </t>
  </si>
  <si>
    <t xml:space="preserve">#50 (300 µm)  Sieve   </t>
  </si>
  <si>
    <t xml:space="preserve">#100 (150 µm) Sieve   </t>
  </si>
  <si>
    <t xml:space="preserve">#200 (75 µm) Sieve   </t>
  </si>
  <si>
    <t>VER 11-07</t>
  </si>
  <si>
    <t xml:space="preserve">Date Sampled : </t>
  </si>
  <si>
    <t xml:space="preserve">Enter CF &amp; WF from other report if &gt; 5 verification tests. </t>
  </si>
  <si>
    <t>Coarseness Factor (CF)</t>
  </si>
  <si>
    <t>Workability Factor (WF)</t>
  </si>
  <si>
    <t>Enter Aggregate Percentages from Plant Report at time Sample was taken.</t>
  </si>
  <si>
    <t>HPC-O</t>
  </si>
  <si>
    <t>A-L2</t>
  </si>
  <si>
    <t>A-L3</t>
  </si>
  <si>
    <t>A-L4</t>
  </si>
  <si>
    <t>A-L5</t>
  </si>
  <si>
    <t>B-L2</t>
  </si>
  <si>
    <t>B-L3</t>
  </si>
  <si>
    <t>B-L4</t>
  </si>
  <si>
    <t>B-L5</t>
  </si>
  <si>
    <t>C-L2</t>
  </si>
  <si>
    <t>C-L3</t>
  </si>
  <si>
    <t>C-L3WR</t>
  </si>
  <si>
    <t>C-L4</t>
  </si>
  <si>
    <t>C-L4WR</t>
  </si>
  <si>
    <t>C-L5</t>
  </si>
  <si>
    <t>C-L5WR</t>
  </si>
  <si>
    <t>C-SUD</t>
  </si>
  <si>
    <t>C-V</t>
  </si>
  <si>
    <t>CV-SUD</t>
  </si>
  <si>
    <t>FM</t>
  </si>
  <si>
    <t>GR</t>
  </si>
  <si>
    <t>M-5</t>
  </si>
  <si>
    <t>M-V47B</t>
  </si>
  <si>
    <t>SCC</t>
  </si>
  <si>
    <t>TBR</t>
  </si>
  <si>
    <t>X-2</t>
  </si>
  <si>
    <t>X-3</t>
  </si>
  <si>
    <t>X-4</t>
  </si>
  <si>
    <r>
      <t xml:space="preserve">Enter Required Fields for
</t>
    </r>
    <r>
      <rPr>
        <b/>
        <i/>
        <sz val="10"/>
        <color indexed="12"/>
        <rFont val="Arial MT"/>
      </rPr>
      <t xml:space="preserve">QMC  </t>
    </r>
    <r>
      <rPr>
        <b/>
        <i/>
        <sz val="10"/>
        <rFont val="Arial MT"/>
      </rPr>
      <t>Mixes
When (</t>
    </r>
    <r>
      <rPr>
        <b/>
        <i/>
        <sz val="10"/>
        <color indexed="10"/>
        <rFont val="Arial MT"/>
      </rPr>
      <t>ENTER</t>
    </r>
    <r>
      <rPr>
        <b/>
        <i/>
        <sz val="10"/>
        <rFont val="Arial MT"/>
      </rPr>
      <t>) displays</t>
    </r>
  </si>
  <si>
    <t>Mix INFO for BR, QMC, HPC-D &amp; C-SUD ONLY</t>
  </si>
  <si>
    <t xml:space="preserve">Intermediate Aggregate Gradation No. :  </t>
  </si>
  <si>
    <t>2, 6, or Blank</t>
  </si>
  <si>
    <t xml:space="preserve">I.A. Specification Limits 3/4" Sieve:  </t>
  </si>
  <si>
    <t xml:space="preserve">I.A. Specification Limits 1/2" Sieve:  </t>
  </si>
  <si>
    <t xml:space="preserve">I.A. Specification Limits 3/8" Sieve:  </t>
  </si>
  <si>
    <t xml:space="preserve">I.A. Specification Limits #4 Sieve:  </t>
  </si>
  <si>
    <t xml:space="preserve">I.A. Specification Limits #8 Sieve:  </t>
  </si>
  <si>
    <t xml:space="preserve">I.A. Specification Limits #200 Sieve:  </t>
  </si>
  <si>
    <t>04/20/20 TDH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</si>
</sst>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mm/dd/yy_)"/>
    <numFmt numFmtId="165" formatCode="0_)"/>
    <numFmt numFmtId="166" formatCode=";;;"/>
    <numFmt numFmtId="167" formatCode="0.0_)"/>
    <numFmt numFmtId="168" formatCode="0.0%"/>
    <numFmt numFmtId="169" formatCode="0.00_)"/>
    <numFmt numFmtId="170" formatCode="#,##0.0_);\(#,##0.0\)"/>
    <numFmt numFmtId="171" formatCode="0.0"/>
    <numFmt numFmtId="172" formatCode="0.000"/>
    <numFmt numFmtId="173" formatCode="m/d/yy"/>
    <numFmt numFmtId="174" formatCode="m/d/yy;@"/>
  </numFmts>
  <fonts count="65">
    <font>
      <sz val="12"/>
      <name val="Arial MT"/>
    </font>
    <font>
      <sz val="12"/>
      <color indexed="8"/>
      <name val="Arial"/>
      <family val="2"/>
    </font>
    <font>
      <b/>
      <sz val="12"/>
      <name val="Arial MT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MT"/>
    </font>
    <font>
      <b/>
      <sz val="10"/>
      <color indexed="8"/>
      <name val="Arial"/>
      <family val="2"/>
    </font>
    <font>
      <sz val="12"/>
      <color indexed="12"/>
      <name val="Arial"/>
      <family val="2"/>
    </font>
    <font>
      <sz val="10"/>
      <name val="Arial MT"/>
      <family val="2"/>
    </font>
    <font>
      <b/>
      <sz val="12"/>
      <name val="Arial MT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2"/>
      <name val="Arial MT"/>
      <family val="2"/>
    </font>
    <font>
      <sz val="12"/>
      <color indexed="12"/>
      <name val="Arial MT"/>
      <family val="2"/>
    </font>
    <font>
      <sz val="12"/>
      <color indexed="8"/>
      <name val="Arial MT"/>
      <family val="2"/>
    </font>
    <font>
      <sz val="12"/>
      <name val="Arial MT"/>
    </font>
    <font>
      <sz val="12"/>
      <color indexed="10"/>
      <name val="Arial MT"/>
      <family val="2"/>
    </font>
    <font>
      <sz val="12"/>
      <name val="Arial MT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12"/>
      <name val="Arial"/>
      <family val="2"/>
    </font>
    <font>
      <sz val="12"/>
      <color indexed="12"/>
      <name val="Arial MT"/>
    </font>
    <font>
      <sz val="10"/>
      <name val="Arial MT"/>
    </font>
    <font>
      <sz val="13"/>
      <name val="Arial MT"/>
    </font>
    <font>
      <sz val="14.5"/>
      <name val="Arial MT"/>
    </font>
    <font>
      <b/>
      <sz val="14.5"/>
      <name val="Arial MT"/>
    </font>
    <font>
      <b/>
      <sz val="14.5"/>
      <color indexed="8"/>
      <name val="Arial"/>
      <family val="2"/>
    </font>
    <font>
      <sz val="12"/>
      <color indexed="8"/>
      <name val="Arial MT"/>
    </font>
    <font>
      <b/>
      <sz val="16"/>
      <color indexed="8"/>
      <name val="Arial"/>
      <family val="2"/>
    </font>
    <font>
      <b/>
      <i/>
      <sz val="10"/>
      <name val="Arial MT"/>
    </font>
    <font>
      <b/>
      <i/>
      <sz val="10"/>
      <color indexed="12"/>
      <name val="Arial MT"/>
    </font>
    <font>
      <b/>
      <i/>
      <sz val="10"/>
      <color indexed="10"/>
      <name val="Arial MT"/>
    </font>
    <font>
      <b/>
      <i/>
      <sz val="12"/>
      <color indexed="10"/>
      <name val="Arial MT"/>
    </font>
    <font>
      <b/>
      <sz val="9"/>
      <name val="Arial MT"/>
    </font>
    <font>
      <sz val="9"/>
      <name val="Arial MT"/>
    </font>
    <font>
      <b/>
      <sz val="11"/>
      <name val="Arial MT"/>
    </font>
    <font>
      <sz val="11"/>
      <name val="Arial MT"/>
    </font>
    <font>
      <b/>
      <sz val="10"/>
      <name val="Arial MT"/>
    </font>
    <font>
      <sz val="10"/>
      <color indexed="12"/>
      <name val="Arial MT"/>
    </font>
    <font>
      <b/>
      <sz val="18"/>
      <color indexed="8"/>
      <name val="Arial"/>
      <family val="2"/>
    </font>
    <font>
      <sz val="16"/>
      <name val="Arial MT"/>
    </font>
    <font>
      <b/>
      <sz val="16"/>
      <name val="Arial MT"/>
    </font>
    <font>
      <b/>
      <sz val="18"/>
      <name val="Arial MT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8"/>
      <name val="Arial MT"/>
    </font>
    <font>
      <b/>
      <i/>
      <sz val="12"/>
      <name val="Arial MT"/>
    </font>
    <font>
      <b/>
      <sz val="16"/>
      <color indexed="22"/>
      <name val="Arial"/>
      <family val="2"/>
    </font>
    <font>
      <b/>
      <sz val="12"/>
      <color indexed="12"/>
      <name val="Arial MT"/>
    </font>
    <font>
      <sz val="11"/>
      <name val="Arial MT"/>
      <family val="2"/>
    </font>
    <font>
      <sz val="11"/>
      <name val="Arial"/>
      <family val="2"/>
    </font>
    <font>
      <i/>
      <sz val="8"/>
      <name val="Arial MT"/>
    </font>
    <font>
      <sz val="12"/>
      <color indexed="9"/>
      <name val="Arial MT"/>
    </font>
    <font>
      <i/>
      <sz val="9"/>
      <name val="Arial MT"/>
    </font>
    <font>
      <b/>
      <sz val="10"/>
      <name val="Arial"/>
      <family val="2"/>
    </font>
    <font>
      <b/>
      <i/>
      <u/>
      <sz val="16"/>
      <color indexed="8"/>
      <name val="Arial"/>
      <family val="2"/>
    </font>
    <font>
      <b/>
      <u/>
      <sz val="16"/>
      <color indexed="8"/>
      <name val="Arial"/>
      <family val="2"/>
    </font>
    <font>
      <i/>
      <sz val="10"/>
      <name val="Arial MT"/>
    </font>
    <font>
      <sz val="12"/>
      <color rgb="FF0000FF"/>
      <name val="Arial MT"/>
    </font>
    <font>
      <sz val="18"/>
      <name val="Arial"/>
      <family val="2"/>
    </font>
    <font>
      <sz val="18"/>
      <name val="Arial MT"/>
      <family val="2"/>
    </font>
    <font>
      <sz val="18"/>
      <name val="Arial MT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gray125">
        <bgColor indexed="22"/>
      </patternFill>
    </fill>
    <fill>
      <patternFill patternType="solid">
        <fgColor indexed="40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165" fontId="0" fillId="0" borderId="0"/>
    <xf numFmtId="165" fontId="17" fillId="0" borderId="0"/>
  </cellStyleXfs>
  <cellXfs count="321">
    <xf numFmtId="165" fontId="0" fillId="0" borderId="0" xfId="0"/>
    <xf numFmtId="165" fontId="1" fillId="0" borderId="0" xfId="0" applyFont="1" applyProtection="1"/>
    <xf numFmtId="165" fontId="0" fillId="0" borderId="0" xfId="0" applyProtection="1"/>
    <xf numFmtId="165" fontId="4" fillId="0" borderId="0" xfId="0" applyFont="1" applyAlignment="1" applyProtection="1">
      <alignment horizontal="centerContinuous"/>
    </xf>
    <xf numFmtId="165" fontId="4" fillId="0" borderId="0" xfId="0" applyFont="1" applyAlignment="1" applyProtection="1">
      <alignment horizontal="centerContinuous" vertical="top"/>
    </xf>
    <xf numFmtId="165" fontId="1" fillId="0" borderId="0" xfId="0" applyFont="1" applyAlignment="1" applyProtection="1">
      <alignment horizontal="centerContinuous"/>
    </xf>
    <xf numFmtId="165" fontId="4" fillId="0" borderId="0" xfId="0" applyFont="1" applyProtection="1"/>
    <xf numFmtId="165" fontId="5" fillId="0" borderId="0" xfId="0" applyFont="1" applyProtection="1"/>
    <xf numFmtId="165" fontId="6" fillId="0" borderId="0" xfId="0" applyFont="1" applyProtection="1"/>
    <xf numFmtId="165" fontId="4" fillId="0" borderId="0" xfId="0" applyFont="1" applyAlignment="1" applyProtection="1">
      <alignment horizontal="right"/>
    </xf>
    <xf numFmtId="165" fontId="9" fillId="0" borderId="0" xfId="0" applyFont="1" applyProtection="1"/>
    <xf numFmtId="166" fontId="0" fillId="0" borderId="0" xfId="0" applyNumberFormat="1" applyProtection="1"/>
    <xf numFmtId="165" fontId="8" fillId="0" borderId="0" xfId="0" applyFont="1" applyProtection="1"/>
    <xf numFmtId="165" fontId="8" fillId="0" borderId="1" xfId="0" applyFont="1" applyBorder="1" applyAlignment="1" applyProtection="1">
      <alignment horizontal="center"/>
    </xf>
    <xf numFmtId="0" fontId="0" fillId="0" borderId="0" xfId="0" applyNumberFormat="1" applyProtection="1"/>
    <xf numFmtId="0" fontId="10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NumberFormat="1" applyFont="1" applyAlignment="1" applyProtection="1">
      <alignment horizontal="center"/>
    </xf>
    <xf numFmtId="0" fontId="11" fillId="0" borderId="0" xfId="0" applyNumberFormat="1" applyFont="1" applyAlignment="1" applyProtection="1">
      <alignment horizontal="center"/>
    </xf>
    <xf numFmtId="0" fontId="10" fillId="0" borderId="0" xfId="0" applyNumberFormat="1" applyFont="1" applyProtection="1"/>
    <xf numFmtId="165" fontId="10" fillId="0" borderId="1" xfId="0" applyFont="1" applyBorder="1" applyAlignment="1" applyProtection="1">
      <alignment horizontal="center"/>
    </xf>
    <xf numFmtId="165" fontId="12" fillId="0" borderId="0" xfId="0" applyFont="1" applyProtection="1"/>
    <xf numFmtId="0" fontId="11" fillId="0" borderId="0" xfId="0" applyNumberFormat="1" applyFont="1" applyProtection="1"/>
    <xf numFmtId="0" fontId="10" fillId="0" borderId="0" xfId="0" applyNumberFormat="1" applyFont="1" applyAlignment="1" applyProtection="1">
      <alignment horizontal="right"/>
    </xf>
    <xf numFmtId="0" fontId="12" fillId="0" borderId="0" xfId="0" applyNumberFormat="1" applyFont="1" applyProtection="1"/>
    <xf numFmtId="165" fontId="14" fillId="0" borderId="1" xfId="0" applyFont="1" applyBorder="1" applyAlignment="1" applyProtection="1">
      <alignment horizontal="right"/>
    </xf>
    <xf numFmtId="165" fontId="15" fillId="2" borderId="2" xfId="0" applyFont="1" applyFill="1" applyBorder="1" applyProtection="1">
      <protection locked="0"/>
    </xf>
    <xf numFmtId="165" fontId="16" fillId="2" borderId="3" xfId="0" applyFont="1" applyFill="1" applyBorder="1" applyProtection="1">
      <protection locked="0"/>
    </xf>
    <xf numFmtId="165" fontId="14" fillId="2" borderId="4" xfId="0" applyFont="1" applyFill="1" applyBorder="1" applyProtection="1"/>
    <xf numFmtId="165" fontId="17" fillId="0" borderId="0" xfId="0" applyFont="1" applyProtection="1"/>
    <xf numFmtId="167" fontId="17" fillId="0" borderId="0" xfId="0" applyNumberFormat="1" applyFont="1" applyProtection="1"/>
    <xf numFmtId="165" fontId="14" fillId="0" borderId="0" xfId="0" applyFont="1" applyProtection="1"/>
    <xf numFmtId="165" fontId="14" fillId="0" borderId="1" xfId="0" applyFont="1" applyBorder="1" applyAlignment="1" applyProtection="1">
      <alignment horizontal="center"/>
    </xf>
    <xf numFmtId="165" fontId="12" fillId="0" borderId="1" xfId="0" applyFont="1" applyBorder="1" applyAlignment="1" applyProtection="1">
      <alignment horizontal="right"/>
    </xf>
    <xf numFmtId="165" fontId="18" fillId="2" borderId="0" xfId="0" applyFont="1" applyFill="1" applyAlignment="1" applyProtection="1">
      <alignment horizontal="centerContinuous" vertical="center"/>
    </xf>
    <xf numFmtId="165" fontId="19" fillId="0" borderId="0" xfId="0" applyFont="1" applyProtection="1"/>
    <xf numFmtId="165" fontId="12" fillId="0" borderId="5" xfId="0" applyFont="1" applyBorder="1" applyAlignment="1" applyProtection="1">
      <alignment horizontal="center"/>
    </xf>
    <xf numFmtId="165" fontId="14" fillId="0" borderId="0" xfId="0" applyFont="1" applyAlignment="1" applyProtection="1">
      <alignment horizontal="center"/>
    </xf>
    <xf numFmtId="165" fontId="12" fillId="0" borderId="1" xfId="0" applyFont="1" applyBorder="1" applyAlignment="1" applyProtection="1">
      <alignment horizontal="center"/>
    </xf>
    <xf numFmtId="165" fontId="17" fillId="3" borderId="0" xfId="0" applyFont="1" applyFill="1" applyProtection="1"/>
    <xf numFmtId="165" fontId="15" fillId="2" borderId="6" xfId="0" applyFont="1" applyFill="1" applyBorder="1" applyProtection="1">
      <protection locked="0"/>
    </xf>
    <xf numFmtId="165" fontId="16" fillId="2" borderId="7" xfId="0" applyFont="1" applyFill="1" applyBorder="1" applyProtection="1">
      <protection locked="0"/>
    </xf>
    <xf numFmtId="165" fontId="14" fillId="2" borderId="8" xfId="0" applyFont="1" applyFill="1" applyBorder="1" applyProtection="1"/>
    <xf numFmtId="170" fontId="12" fillId="4" borderId="1" xfId="0" applyNumberFormat="1" applyFont="1" applyFill="1" applyBorder="1" applyAlignment="1" applyProtection="1">
      <alignment horizontal="center"/>
      <protection locked="0"/>
    </xf>
    <xf numFmtId="165" fontId="0" fillId="0" borderId="0" xfId="0" applyAlignment="1">
      <alignment horizontal="right"/>
    </xf>
    <xf numFmtId="165" fontId="11" fillId="0" borderId="0" xfId="0" applyFont="1" applyProtection="1"/>
    <xf numFmtId="165" fontId="20" fillId="0" borderId="0" xfId="0" applyFont="1" applyAlignment="1" applyProtection="1">
      <alignment horizontal="center"/>
    </xf>
    <xf numFmtId="165" fontId="21" fillId="0" borderId="0" xfId="0" applyFont="1" applyProtection="1"/>
    <xf numFmtId="165" fontId="22" fillId="0" borderId="0" xfId="0" applyFont="1" applyAlignment="1" applyProtection="1">
      <alignment horizontal="center"/>
    </xf>
    <xf numFmtId="165" fontId="11" fillId="0" borderId="9" xfId="0" applyFont="1" applyBorder="1" applyProtection="1"/>
    <xf numFmtId="165" fontId="11" fillId="0" borderId="10" xfId="0" applyFont="1" applyBorder="1" applyProtection="1"/>
    <xf numFmtId="165" fontId="11" fillId="0" borderId="11" xfId="0" applyFont="1" applyBorder="1" applyProtection="1"/>
    <xf numFmtId="168" fontId="11" fillId="0" borderId="12" xfId="0" applyNumberFormat="1" applyFont="1" applyBorder="1" applyProtection="1"/>
    <xf numFmtId="165" fontId="11" fillId="0" borderId="13" xfId="0" applyFont="1" applyBorder="1" applyProtection="1"/>
    <xf numFmtId="165" fontId="11" fillId="0" borderId="14" xfId="0" applyFont="1" applyBorder="1" applyProtection="1"/>
    <xf numFmtId="165" fontId="11" fillId="0" borderId="15" xfId="0" applyFont="1" applyBorder="1" applyProtection="1"/>
    <xf numFmtId="168" fontId="11" fillId="0" borderId="16" xfId="0" applyNumberFormat="1" applyFont="1" applyBorder="1" applyProtection="1"/>
    <xf numFmtId="165" fontId="11" fillId="0" borderId="17" xfId="0" applyFont="1" applyBorder="1" applyProtection="1"/>
    <xf numFmtId="165" fontId="11" fillId="0" borderId="18" xfId="0" applyFont="1" applyBorder="1" applyProtection="1"/>
    <xf numFmtId="165" fontId="11" fillId="0" borderId="19" xfId="0" applyFont="1" applyBorder="1" applyProtection="1"/>
    <xf numFmtId="168" fontId="11" fillId="0" borderId="20" xfId="0" applyNumberFormat="1" applyFont="1" applyBorder="1" applyProtection="1"/>
    <xf numFmtId="167" fontId="11" fillId="0" borderId="0" xfId="0" applyNumberFormat="1" applyFont="1" applyProtection="1"/>
    <xf numFmtId="165" fontId="6" fillId="0" borderId="21" xfId="0" applyFont="1" applyBorder="1" applyProtection="1"/>
    <xf numFmtId="165" fontId="6" fillId="0" borderId="22" xfId="0" applyFont="1" applyBorder="1" applyAlignment="1" applyProtection="1">
      <alignment horizontal="center"/>
    </xf>
    <xf numFmtId="165" fontId="6" fillId="0" borderId="23" xfId="0" applyFont="1" applyBorder="1" applyProtection="1"/>
    <xf numFmtId="165" fontId="6" fillId="0" borderId="24" xfId="0" applyFont="1" applyBorder="1" applyAlignment="1" applyProtection="1">
      <alignment horizontal="center"/>
    </xf>
    <xf numFmtId="165" fontId="6" fillId="0" borderId="25" xfId="0" applyFont="1" applyBorder="1" applyAlignment="1" applyProtection="1">
      <alignment horizontal="center"/>
    </xf>
    <xf numFmtId="165" fontId="6" fillId="0" borderId="26" xfId="0" applyFont="1" applyBorder="1" applyProtection="1"/>
    <xf numFmtId="165" fontId="6" fillId="0" borderId="26" xfId="0" applyFont="1" applyBorder="1" applyAlignment="1" applyProtection="1">
      <alignment horizontal="left"/>
    </xf>
    <xf numFmtId="165" fontId="6" fillId="0" borderId="27" xfId="0" applyFont="1" applyBorder="1" applyProtection="1"/>
    <xf numFmtId="165" fontId="6" fillId="0" borderId="19" xfId="0" applyFont="1" applyBorder="1" applyAlignment="1" applyProtection="1">
      <alignment horizontal="center"/>
    </xf>
    <xf numFmtId="165" fontId="6" fillId="0" borderId="28" xfId="0" applyFont="1" applyBorder="1" applyProtection="1"/>
    <xf numFmtId="165" fontId="6" fillId="0" borderId="29" xfId="0" applyFont="1" applyBorder="1" applyProtection="1"/>
    <xf numFmtId="165" fontId="20" fillId="0" borderId="15" xfId="0" applyFont="1" applyBorder="1" applyAlignment="1" applyProtection="1">
      <alignment horizontal="center"/>
    </xf>
    <xf numFmtId="165" fontId="21" fillId="0" borderId="15" xfId="0" applyFont="1" applyBorder="1" applyAlignment="1" applyProtection="1">
      <alignment horizontal="center"/>
    </xf>
    <xf numFmtId="165" fontId="22" fillId="0" borderId="15" xfId="0" applyFont="1" applyBorder="1" applyAlignment="1" applyProtection="1">
      <alignment horizontal="center"/>
    </xf>
    <xf numFmtId="165" fontId="6" fillId="0" borderId="30" xfId="0" applyFont="1" applyBorder="1" applyProtection="1"/>
    <xf numFmtId="165" fontId="6" fillId="0" borderId="29" xfId="0" applyFont="1" applyBorder="1" applyAlignment="1" applyProtection="1">
      <alignment horizontal="center"/>
    </xf>
    <xf numFmtId="167" fontId="11" fillId="0" borderId="15" xfId="0" applyNumberFormat="1" applyFont="1" applyBorder="1" applyProtection="1"/>
    <xf numFmtId="167" fontId="6" fillId="0" borderId="15" xfId="0" applyNumberFormat="1" applyFont="1" applyBorder="1" applyProtection="1"/>
    <xf numFmtId="167" fontId="11" fillId="5" borderId="15" xfId="0" applyNumberFormat="1" applyFont="1" applyFill="1" applyBorder="1" applyProtection="1"/>
    <xf numFmtId="165" fontId="6" fillId="0" borderId="27" xfId="0" applyFont="1" applyBorder="1" applyAlignment="1" applyProtection="1">
      <alignment horizontal="center"/>
    </xf>
    <xf numFmtId="167" fontId="6" fillId="0" borderId="31" xfId="0" applyNumberFormat="1" applyFont="1" applyBorder="1" applyProtection="1"/>
    <xf numFmtId="167" fontId="11" fillId="0" borderId="19" xfId="0" applyNumberFormat="1" applyFont="1" applyBorder="1" applyProtection="1"/>
    <xf numFmtId="167" fontId="11" fillId="0" borderId="0" xfId="0" applyNumberFormat="1" applyFont="1" applyBorder="1" applyProtection="1"/>
    <xf numFmtId="165" fontId="6" fillId="0" borderId="0" xfId="0" applyFont="1" applyBorder="1" applyProtection="1"/>
    <xf numFmtId="167" fontId="6" fillId="0" borderId="0" xfId="0" applyNumberFormat="1" applyFont="1" applyProtection="1"/>
    <xf numFmtId="171" fontId="23" fillId="0" borderId="31" xfId="0" applyNumberFormat="1" applyFont="1" applyBorder="1" applyProtection="1"/>
    <xf numFmtId="165" fontId="2" fillId="0" borderId="0" xfId="0" applyFont="1" applyProtection="1"/>
    <xf numFmtId="165" fontId="23" fillId="6" borderId="0" xfId="0" applyFont="1" applyFill="1" applyAlignment="1" applyProtection="1">
      <alignment horizontal="left"/>
      <protection locked="0"/>
    </xf>
    <xf numFmtId="2" fontId="23" fillId="6" borderId="0" xfId="0" applyNumberFormat="1" applyFont="1" applyFill="1" applyAlignment="1" applyProtection="1">
      <alignment horizontal="left"/>
      <protection locked="0"/>
    </xf>
    <xf numFmtId="165" fontId="23" fillId="6" borderId="0" xfId="0" applyFont="1" applyFill="1" applyAlignment="1">
      <alignment horizontal="left"/>
    </xf>
    <xf numFmtId="0" fontId="11" fillId="0" borderId="15" xfId="0" applyNumberFormat="1" applyFont="1" applyBorder="1" applyProtection="1"/>
    <xf numFmtId="165" fontId="24" fillId="0" borderId="0" xfId="0" applyFont="1" applyAlignment="1">
      <alignment horizontal="right"/>
    </xf>
    <xf numFmtId="165" fontId="25" fillId="0" borderId="0" xfId="0" applyFont="1"/>
    <xf numFmtId="165" fontId="26" fillId="0" borderId="0" xfId="0" applyFont="1"/>
    <xf numFmtId="165" fontId="28" fillId="0" borderId="0" xfId="0" applyFont="1" applyFill="1" applyProtection="1"/>
    <xf numFmtId="165" fontId="28" fillId="0" borderId="0" xfId="0" applyFont="1" applyProtection="1"/>
    <xf numFmtId="165" fontId="28" fillId="0" borderId="2" xfId="0" applyFont="1" applyBorder="1" applyAlignment="1" applyProtection="1">
      <alignment horizontal="centerContinuous"/>
    </xf>
    <xf numFmtId="165" fontId="28" fillId="0" borderId="3" xfId="0" applyFont="1" applyBorder="1" applyAlignment="1" applyProtection="1">
      <alignment horizontal="centerContinuous"/>
    </xf>
    <xf numFmtId="165" fontId="28" fillId="0" borderId="32" xfId="0" applyFont="1" applyBorder="1" applyAlignment="1" applyProtection="1">
      <alignment horizontal="centerContinuous"/>
    </xf>
    <xf numFmtId="165" fontId="28" fillId="0" borderId="4" xfId="0" applyFont="1" applyBorder="1" applyAlignment="1" applyProtection="1">
      <alignment horizontal="centerContinuous"/>
    </xf>
    <xf numFmtId="165" fontId="28" fillId="0" borderId="0" xfId="0" applyFont="1" applyAlignment="1" applyProtection="1">
      <alignment horizontal="right"/>
    </xf>
    <xf numFmtId="165" fontId="26" fillId="0" borderId="0" xfId="0" applyFont="1" applyProtection="1"/>
    <xf numFmtId="165" fontId="28" fillId="0" borderId="1" xfId="0" applyFont="1" applyBorder="1" applyAlignment="1" applyProtection="1">
      <alignment horizontal="center"/>
    </xf>
    <xf numFmtId="165" fontId="28" fillId="0" borderId="2" xfId="0" applyFont="1" applyBorder="1" applyAlignment="1" applyProtection="1">
      <alignment horizontal="center"/>
    </xf>
    <xf numFmtId="165" fontId="28" fillId="0" borderId="33" xfId="0" applyFont="1" applyBorder="1" applyAlignment="1" applyProtection="1">
      <alignment horizontal="center"/>
    </xf>
    <xf numFmtId="165" fontId="27" fillId="0" borderId="1" xfId="0" applyFont="1" applyBorder="1" applyAlignment="1" applyProtection="1">
      <alignment horizontal="center"/>
    </xf>
    <xf numFmtId="165" fontId="27" fillId="0" borderId="33" xfId="0" applyFont="1" applyBorder="1" applyAlignment="1" applyProtection="1">
      <alignment horizontal="right"/>
    </xf>
    <xf numFmtId="165" fontId="28" fillId="0" borderId="33" xfId="0" applyFont="1" applyBorder="1" applyAlignment="1" applyProtection="1">
      <alignment horizontal="right"/>
    </xf>
    <xf numFmtId="165" fontId="28" fillId="0" borderId="0" xfId="0" applyFont="1" applyFill="1" applyBorder="1" applyAlignment="1" applyProtection="1">
      <alignment horizontal="center"/>
    </xf>
    <xf numFmtId="165" fontId="27" fillId="0" borderId="0" xfId="0" applyFont="1" applyBorder="1" applyAlignment="1" applyProtection="1">
      <alignment horizontal="right"/>
    </xf>
    <xf numFmtId="165" fontId="28" fillId="0" borderId="14" xfId="0" applyFont="1" applyBorder="1" applyAlignment="1" applyProtection="1">
      <alignment horizontal="center"/>
    </xf>
    <xf numFmtId="165" fontId="28" fillId="0" borderId="14" xfId="0" applyFont="1" applyBorder="1" applyProtection="1"/>
    <xf numFmtId="165" fontId="28" fillId="0" borderId="0" xfId="0" applyFont="1" applyBorder="1" applyProtection="1"/>
    <xf numFmtId="167" fontId="28" fillId="0" borderId="0" xfId="0" applyNumberFormat="1" applyFont="1" applyProtection="1"/>
    <xf numFmtId="0" fontId="3" fillId="0" borderId="1" xfId="0" applyNumberFormat="1" applyFont="1" applyBorder="1" applyAlignment="1" applyProtection="1">
      <alignment horizontal="center"/>
    </xf>
    <xf numFmtId="165" fontId="28" fillId="0" borderId="0" xfId="0" applyFont="1" applyBorder="1" applyAlignment="1" applyProtection="1">
      <alignment horizontal="centerContinuous"/>
    </xf>
    <xf numFmtId="2" fontId="28" fillId="0" borderId="0" xfId="0" applyNumberFormat="1" applyFont="1" applyBorder="1" applyAlignment="1" applyProtection="1">
      <alignment horizontal="centerContinuous"/>
    </xf>
    <xf numFmtId="173" fontId="23" fillId="6" borderId="0" xfId="0" applyNumberFormat="1" applyFont="1" applyFill="1" applyAlignment="1" applyProtection="1">
      <alignment horizontal="left"/>
      <protection locked="0"/>
    </xf>
    <xf numFmtId="165" fontId="2" fillId="0" borderId="0" xfId="0" applyFont="1"/>
    <xf numFmtId="172" fontId="34" fillId="0" borderId="34" xfId="0" applyNumberFormat="1" applyFont="1" applyBorder="1" applyAlignment="1" applyProtection="1">
      <alignment horizontal="center"/>
      <protection locked="0"/>
    </xf>
    <xf numFmtId="165" fontId="39" fillId="0" borderId="0" xfId="0" applyFont="1" applyAlignment="1">
      <alignment horizontal="right"/>
    </xf>
    <xf numFmtId="1" fontId="40" fillId="7" borderId="0" xfId="0" applyNumberFormat="1" applyFont="1" applyFill="1" applyBorder="1" applyAlignment="1" applyProtection="1">
      <alignment horizontal="center"/>
      <protection locked="0"/>
    </xf>
    <xf numFmtId="171" fontId="40" fillId="7" borderId="0" xfId="0" applyNumberFormat="1" applyFont="1" applyFill="1" applyBorder="1" applyAlignment="1" applyProtection="1">
      <alignment horizontal="center"/>
      <protection locked="0"/>
    </xf>
    <xf numFmtId="165" fontId="30" fillId="0" borderId="0" xfId="0" applyFont="1" applyAlignment="1" applyProtection="1">
      <alignment horizontal="right"/>
    </xf>
    <xf numFmtId="165" fontId="42" fillId="0" borderId="0" xfId="0" applyFont="1" applyProtection="1"/>
    <xf numFmtId="165" fontId="42" fillId="0" borderId="0" xfId="0" applyFont="1"/>
    <xf numFmtId="165" fontId="30" fillId="0" borderId="0" xfId="0" applyFont="1" applyFill="1" applyProtection="1"/>
    <xf numFmtId="165" fontId="43" fillId="0" borderId="0" xfId="0" applyFont="1" applyProtection="1"/>
    <xf numFmtId="165" fontId="43" fillId="0" borderId="0" xfId="0" applyFont="1" applyAlignment="1" applyProtection="1">
      <alignment horizontal="right"/>
    </xf>
    <xf numFmtId="165" fontId="46" fillId="0" borderId="0" xfId="0" applyFont="1"/>
    <xf numFmtId="0" fontId="30" fillId="0" borderId="1" xfId="0" applyNumberFormat="1" applyFont="1" applyBorder="1" applyAlignment="1" applyProtection="1">
      <alignment horizontal="center"/>
    </xf>
    <xf numFmtId="165" fontId="43" fillId="0" borderId="35" xfId="0" applyFont="1" applyBorder="1" applyAlignment="1" applyProtection="1">
      <alignment horizontal="center"/>
    </xf>
    <xf numFmtId="165" fontId="42" fillId="0" borderId="1" xfId="0" applyFont="1" applyBorder="1" applyProtection="1"/>
    <xf numFmtId="0" fontId="30" fillId="0" borderId="36" xfId="0" applyNumberFormat="1" applyFont="1" applyBorder="1" applyAlignment="1" applyProtection="1">
      <alignment horizontal="center"/>
    </xf>
    <xf numFmtId="165" fontId="43" fillId="0" borderId="1" xfId="0" applyFont="1" applyBorder="1" applyAlignment="1" applyProtection="1">
      <alignment horizontal="center"/>
    </xf>
    <xf numFmtId="165" fontId="42" fillId="0" borderId="0" xfId="0" applyFont="1" applyBorder="1"/>
    <xf numFmtId="167" fontId="30" fillId="0" borderId="1" xfId="0" applyNumberFormat="1" applyFont="1" applyBorder="1" applyAlignment="1" applyProtection="1">
      <alignment horizontal="center"/>
    </xf>
    <xf numFmtId="165" fontId="43" fillId="0" borderId="36" xfId="0" applyFont="1" applyBorder="1" applyAlignment="1" applyProtection="1">
      <alignment horizontal="center"/>
    </xf>
    <xf numFmtId="165" fontId="43" fillId="0" borderId="0" xfId="0" applyFont="1" applyBorder="1" applyAlignment="1" applyProtection="1">
      <alignment horizontal="center"/>
    </xf>
    <xf numFmtId="165" fontId="42" fillId="0" borderId="0" xfId="0" applyFont="1" applyBorder="1" applyProtection="1"/>
    <xf numFmtId="165" fontId="43" fillId="2" borderId="0" xfId="0" applyFont="1" applyFill="1" applyBorder="1" applyProtection="1"/>
    <xf numFmtId="0" fontId="30" fillId="0" borderId="0" xfId="0" applyNumberFormat="1" applyFont="1" applyBorder="1" applyAlignment="1" applyProtection="1">
      <alignment horizontal="center"/>
    </xf>
    <xf numFmtId="165" fontId="30" fillId="0" borderId="0" xfId="0" applyFont="1" applyProtection="1"/>
    <xf numFmtId="0" fontId="43" fillId="2" borderId="2" xfId="0" applyNumberFormat="1" applyFont="1" applyFill="1" applyBorder="1" applyAlignment="1" applyProtection="1">
      <alignment horizontal="center"/>
    </xf>
    <xf numFmtId="165" fontId="30" fillId="0" borderId="37" xfId="0" applyFont="1" applyBorder="1" applyAlignment="1" applyProtection="1">
      <alignment horizontal="centerContinuous"/>
    </xf>
    <xf numFmtId="165" fontId="30" fillId="0" borderId="36" xfId="0" applyFont="1" applyBorder="1" applyAlignment="1" applyProtection="1">
      <alignment horizontal="center"/>
    </xf>
    <xf numFmtId="0" fontId="30" fillId="0" borderId="0" xfId="0" applyNumberFormat="1" applyFont="1" applyBorder="1" applyAlignment="1" applyProtection="1">
      <alignment horizontal="right"/>
    </xf>
    <xf numFmtId="165" fontId="30" fillId="0" borderId="0" xfId="0" applyFont="1" applyBorder="1" applyAlignment="1" applyProtection="1">
      <alignment horizontal="center"/>
    </xf>
    <xf numFmtId="167" fontId="30" fillId="0" borderId="0" xfId="0" applyNumberFormat="1" applyFont="1" applyProtection="1"/>
    <xf numFmtId="165" fontId="3" fillId="0" borderId="1" xfId="0" applyFont="1" applyBorder="1" applyAlignment="1" applyProtection="1">
      <alignment horizontal="center"/>
    </xf>
    <xf numFmtId="165" fontId="44" fillId="0" borderId="0" xfId="0" applyFont="1" applyAlignment="1" applyProtection="1">
      <alignment horizontal="right"/>
    </xf>
    <xf numFmtId="165" fontId="45" fillId="8" borderId="2" xfId="0" applyFont="1" applyFill="1" applyBorder="1" applyAlignment="1" applyProtection="1"/>
    <xf numFmtId="165" fontId="0" fillId="8" borderId="3" xfId="0" applyFill="1" applyBorder="1" applyAlignment="1"/>
    <xf numFmtId="165" fontId="0" fillId="8" borderId="4" xfId="0" applyFill="1" applyBorder="1" applyAlignment="1"/>
    <xf numFmtId="165" fontId="43" fillId="0" borderId="38" xfId="0" applyFont="1" applyBorder="1" applyAlignment="1" applyProtection="1">
      <alignment vertical="center"/>
    </xf>
    <xf numFmtId="165" fontId="0" fillId="0" borderId="0" xfId="0" applyBorder="1"/>
    <xf numFmtId="165" fontId="31" fillId="0" borderId="0" xfId="0" applyFont="1" applyBorder="1" applyAlignment="1">
      <alignment horizontal="right"/>
    </xf>
    <xf numFmtId="165" fontId="30" fillId="9" borderId="1" xfId="0" applyFont="1" applyFill="1" applyBorder="1" applyAlignment="1" applyProtection="1">
      <alignment horizontal="center"/>
    </xf>
    <xf numFmtId="0" fontId="41" fillId="0" borderId="1" xfId="0" applyNumberFormat="1" applyFont="1" applyBorder="1" applyAlignment="1" applyProtection="1">
      <alignment horizontal="center"/>
    </xf>
    <xf numFmtId="165" fontId="44" fillId="0" borderId="35" xfId="0" applyFont="1" applyBorder="1" applyAlignment="1" applyProtection="1">
      <alignment horizontal="center"/>
    </xf>
    <xf numFmtId="165" fontId="44" fillId="0" borderId="36" xfId="0" applyFont="1" applyBorder="1" applyAlignment="1" applyProtection="1">
      <alignment horizontal="center"/>
    </xf>
    <xf numFmtId="165" fontId="41" fillId="0" borderId="1" xfId="0" applyFont="1" applyBorder="1" applyAlignment="1" applyProtection="1">
      <alignment horizontal="centerContinuous"/>
    </xf>
    <xf numFmtId="165" fontId="41" fillId="0" borderId="14" xfId="0" applyFont="1" applyFill="1" applyBorder="1" applyAlignment="1" applyProtection="1">
      <alignment horizontal="left"/>
    </xf>
    <xf numFmtId="165" fontId="41" fillId="0" borderId="14" xfId="0" applyFont="1" applyFill="1" applyBorder="1" applyProtection="1"/>
    <xf numFmtId="165" fontId="41" fillId="0" borderId="3" xfId="0" applyFont="1" applyFill="1" applyBorder="1" applyProtection="1"/>
    <xf numFmtId="165" fontId="41" fillId="0" borderId="14" xfId="0" applyFont="1" applyFill="1" applyBorder="1" applyAlignment="1" applyProtection="1">
      <alignment horizontal="center"/>
    </xf>
    <xf numFmtId="164" fontId="41" fillId="0" borderId="14" xfId="0" applyNumberFormat="1" applyFont="1" applyFill="1" applyBorder="1" applyAlignment="1" applyProtection="1">
      <alignment horizontal="center"/>
    </xf>
    <xf numFmtId="165" fontId="0" fillId="0" borderId="3" xfId="0" applyBorder="1" applyProtection="1"/>
    <xf numFmtId="171" fontId="43" fillId="0" borderId="1" xfId="0" applyNumberFormat="1" applyFont="1" applyBorder="1" applyAlignment="1" applyProtection="1">
      <alignment horizontal="right"/>
    </xf>
    <xf numFmtId="0" fontId="3" fillId="0" borderId="36" xfId="0" applyNumberFormat="1" applyFont="1" applyBorder="1" applyAlignment="1" applyProtection="1">
      <alignment horizontal="center"/>
    </xf>
    <xf numFmtId="165" fontId="2" fillId="0" borderId="0" xfId="0" applyFont="1" applyAlignment="1" applyProtection="1">
      <alignment horizontal="right"/>
    </xf>
    <xf numFmtId="165" fontId="50" fillId="9" borderId="0" xfId="0" applyFont="1" applyFill="1" applyBorder="1" applyAlignment="1" applyProtection="1">
      <alignment horizontal="center"/>
    </xf>
    <xf numFmtId="167" fontId="23" fillId="0" borderId="1" xfId="0" applyNumberFormat="1" applyFont="1" applyBorder="1" applyAlignment="1" applyProtection="1">
      <alignment horizontal="center"/>
      <protection locked="0"/>
    </xf>
    <xf numFmtId="165" fontId="0" fillId="0" borderId="0" xfId="0" applyBorder="1" applyAlignment="1">
      <alignment horizontal="left"/>
    </xf>
    <xf numFmtId="165" fontId="12" fillId="0" borderId="0" xfId="0" applyFont="1" applyAlignment="1" applyProtection="1">
      <alignment horizontal="center"/>
    </xf>
    <xf numFmtId="167" fontId="12" fillId="0" borderId="0" xfId="0" applyNumberFormat="1" applyFont="1" applyAlignment="1" applyProtection="1">
      <alignment horizontal="center"/>
    </xf>
    <xf numFmtId="167" fontId="12" fillId="0" borderId="5" xfId="0" applyNumberFormat="1" applyFont="1" applyBorder="1" applyAlignment="1" applyProtection="1">
      <alignment horizontal="center"/>
    </xf>
    <xf numFmtId="167" fontId="7" fillId="2" borderId="1" xfId="0" applyNumberFormat="1" applyFont="1" applyFill="1" applyBorder="1" applyAlignment="1" applyProtection="1">
      <alignment horizontal="center"/>
      <protection locked="0"/>
    </xf>
    <xf numFmtId="167" fontId="12" fillId="0" borderId="1" xfId="0" applyNumberFormat="1" applyFont="1" applyBorder="1" applyAlignment="1" applyProtection="1">
      <alignment horizontal="center"/>
    </xf>
    <xf numFmtId="167" fontId="14" fillId="0" borderId="1" xfId="0" applyNumberFormat="1" applyFont="1" applyBorder="1" applyAlignment="1" applyProtection="1">
      <alignment horizontal="center"/>
    </xf>
    <xf numFmtId="0" fontId="14" fillId="0" borderId="1" xfId="0" applyNumberFormat="1" applyFont="1" applyBorder="1" applyAlignment="1" applyProtection="1">
      <alignment horizontal="center"/>
    </xf>
    <xf numFmtId="165" fontId="17" fillId="0" borderId="0" xfId="0" applyFont="1" applyAlignment="1" applyProtection="1">
      <alignment horizontal="center"/>
    </xf>
    <xf numFmtId="170" fontId="12" fillId="0" borderId="5" xfId="0" applyNumberFormat="1" applyFont="1" applyBorder="1" applyAlignment="1" applyProtection="1">
      <alignment horizontal="center"/>
    </xf>
    <xf numFmtId="170" fontId="7" fillId="2" borderId="5" xfId="0" applyNumberFormat="1" applyFont="1" applyFill="1" applyBorder="1" applyAlignment="1" applyProtection="1">
      <alignment horizontal="center"/>
      <protection locked="0"/>
    </xf>
    <xf numFmtId="170" fontId="7" fillId="2" borderId="1" xfId="0" applyNumberFormat="1" applyFont="1" applyFill="1" applyBorder="1" applyAlignment="1" applyProtection="1">
      <alignment horizontal="center"/>
      <protection locked="0"/>
    </xf>
    <xf numFmtId="170" fontId="7" fillId="2" borderId="8" xfId="0" applyNumberFormat="1" applyFont="1" applyFill="1" applyBorder="1" applyAlignment="1" applyProtection="1">
      <alignment horizontal="center"/>
      <protection locked="0"/>
    </xf>
    <xf numFmtId="170" fontId="7" fillId="2" borderId="15" xfId="0" applyNumberFormat="1" applyFont="1" applyFill="1" applyBorder="1" applyAlignment="1" applyProtection="1">
      <alignment horizontal="center"/>
      <protection locked="0"/>
    </xf>
    <xf numFmtId="170" fontId="12" fillId="0" borderId="1" xfId="0" applyNumberFormat="1" applyFont="1" applyBorder="1" applyAlignment="1" applyProtection="1">
      <alignment horizontal="center"/>
    </xf>
    <xf numFmtId="0" fontId="12" fillId="0" borderId="1" xfId="0" applyNumberFormat="1" applyFont="1" applyBorder="1" applyAlignment="1" applyProtection="1">
      <alignment horizontal="center"/>
    </xf>
    <xf numFmtId="165" fontId="52" fillId="0" borderId="1" xfId="0" applyFont="1" applyBorder="1" applyAlignment="1" applyProtection="1">
      <alignment horizontal="center"/>
    </xf>
    <xf numFmtId="165" fontId="53" fillId="0" borderId="1" xfId="0" applyFont="1" applyBorder="1" applyAlignment="1" applyProtection="1">
      <alignment horizontal="center"/>
    </xf>
    <xf numFmtId="165" fontId="52" fillId="0" borderId="1" xfId="0" applyFont="1" applyBorder="1" applyProtection="1"/>
    <xf numFmtId="165" fontId="52" fillId="0" borderId="0" xfId="0" applyFont="1" applyProtection="1"/>
    <xf numFmtId="165" fontId="30" fillId="0" borderId="1" xfId="0" applyFont="1" applyBorder="1" applyAlignment="1" applyProtection="1">
      <alignment horizontal="center"/>
    </xf>
    <xf numFmtId="165" fontId="43" fillId="0" borderId="0" xfId="0" applyFont="1" applyAlignment="1" applyProtection="1">
      <alignment horizontal="center"/>
    </xf>
    <xf numFmtId="165" fontId="47" fillId="0" borderId="1" xfId="0" applyFont="1" applyBorder="1" applyAlignment="1">
      <alignment horizontal="center"/>
    </xf>
    <xf numFmtId="165" fontId="30" fillId="0" borderId="2" xfId="0" applyFont="1" applyBorder="1" applyAlignment="1" applyProtection="1">
      <alignment horizontal="center"/>
    </xf>
    <xf numFmtId="165" fontId="42" fillId="9" borderId="1" xfId="0" applyFont="1" applyFill="1" applyBorder="1" applyAlignment="1" applyProtection="1">
      <alignment horizontal="center"/>
    </xf>
    <xf numFmtId="165" fontId="43" fillId="0" borderId="0" xfId="0" applyFont="1" applyAlignment="1">
      <alignment horizontal="right"/>
    </xf>
    <xf numFmtId="165" fontId="2" fillId="0" borderId="39" xfId="0" applyFont="1" applyBorder="1" applyAlignment="1">
      <alignment horizontal="center" wrapText="1"/>
    </xf>
    <xf numFmtId="165" fontId="14" fillId="0" borderId="5" xfId="0" applyFont="1" applyBorder="1" applyAlignment="1" applyProtection="1">
      <alignment horizontal="right"/>
    </xf>
    <xf numFmtId="165" fontId="0" fillId="0" borderId="0" xfId="0" applyAlignment="1" applyProtection="1">
      <alignment horizontal="center"/>
    </xf>
    <xf numFmtId="165" fontId="15" fillId="2" borderId="6" xfId="0" applyFont="1" applyFill="1" applyBorder="1" applyAlignment="1" applyProtection="1">
      <alignment horizontal="left"/>
      <protection locked="0"/>
    </xf>
    <xf numFmtId="165" fontId="15" fillId="2" borderId="2" xfId="0" applyFont="1" applyFill="1" applyBorder="1" applyAlignment="1" applyProtection="1">
      <alignment horizontal="left"/>
      <protection locked="0"/>
    </xf>
    <xf numFmtId="49" fontId="8" fillId="0" borderId="0" xfId="0" applyNumberFormat="1" applyFont="1" applyAlignment="1">
      <alignment horizontal="center"/>
    </xf>
    <xf numFmtId="165" fontId="24" fillId="0" borderId="0" xfId="0" applyFont="1"/>
    <xf numFmtId="0" fontId="29" fillId="10" borderId="0" xfId="0" applyNumberFormat="1" applyFont="1" applyFill="1" applyAlignment="1" applyProtection="1">
      <alignment horizontal="left"/>
    </xf>
    <xf numFmtId="0" fontId="29" fillId="11" borderId="0" xfId="0" applyNumberFormat="1" applyFont="1" applyFill="1" applyAlignment="1" applyProtection="1">
      <alignment horizontal="left"/>
    </xf>
    <xf numFmtId="172" fontId="55" fillId="0" borderId="0" xfId="0" applyNumberFormat="1" applyFont="1"/>
    <xf numFmtId="165" fontId="55" fillId="0" borderId="0" xfId="0" applyFont="1"/>
    <xf numFmtId="165" fontId="39" fillId="0" borderId="0" xfId="0" applyFont="1" applyAlignment="1">
      <alignment horizontal="left"/>
    </xf>
    <xf numFmtId="169" fontId="0" fillId="9" borderId="40" xfId="0" applyNumberFormat="1" applyFill="1" applyBorder="1"/>
    <xf numFmtId="169" fontId="0" fillId="9" borderId="41" xfId="0" applyNumberFormat="1" applyFill="1" applyBorder="1"/>
    <xf numFmtId="165" fontId="0" fillId="9" borderId="42" xfId="0" applyFill="1" applyBorder="1"/>
    <xf numFmtId="165" fontId="0" fillId="0" borderId="0" xfId="0" applyProtection="1">
      <protection hidden="1"/>
    </xf>
    <xf numFmtId="165" fontId="30" fillId="0" borderId="36" xfId="0" applyFont="1" applyBorder="1" applyAlignment="1" applyProtection="1">
      <alignment horizontal="centerContinuous"/>
    </xf>
    <xf numFmtId="165" fontId="2" fillId="0" borderId="39" xfId="0" applyFont="1" applyBorder="1"/>
    <xf numFmtId="165" fontId="0" fillId="0" borderId="39" xfId="0" applyBorder="1"/>
    <xf numFmtId="165" fontId="23" fillId="8" borderId="39" xfId="0" applyFont="1" applyFill="1" applyBorder="1" applyProtection="1">
      <protection locked="0"/>
    </xf>
    <xf numFmtId="165" fontId="47" fillId="0" borderId="1" xfId="0" applyFont="1" applyBorder="1" applyAlignment="1" applyProtection="1">
      <alignment horizontal="center"/>
    </xf>
    <xf numFmtId="165" fontId="43" fillId="0" borderId="1" xfId="0" applyFont="1" applyBorder="1" applyAlignment="1" applyProtection="1">
      <alignment horizontal="right"/>
    </xf>
    <xf numFmtId="165" fontId="30" fillId="0" borderId="2" xfId="0" applyFont="1" applyBorder="1" applyAlignment="1" applyProtection="1">
      <alignment horizontal="left"/>
    </xf>
    <xf numFmtId="165" fontId="43" fillId="0" borderId="1" xfId="0" applyFont="1" applyBorder="1" applyAlignment="1" applyProtection="1">
      <alignment horizontal="left"/>
    </xf>
    <xf numFmtId="165" fontId="47" fillId="0" borderId="1" xfId="0" applyFont="1" applyBorder="1" applyAlignment="1" applyProtection="1">
      <alignment horizontal="left"/>
    </xf>
    <xf numFmtId="165" fontId="42" fillId="0" borderId="3" xfId="0" applyFont="1" applyBorder="1" applyAlignment="1">
      <alignment horizontal="center"/>
    </xf>
    <xf numFmtId="165" fontId="56" fillId="0" borderId="0" xfId="0" applyFont="1"/>
    <xf numFmtId="165" fontId="42" fillId="0" borderId="43" xfId="0" applyFont="1" applyBorder="1" applyAlignment="1">
      <alignment horizontal="left"/>
    </xf>
    <xf numFmtId="165" fontId="12" fillId="0" borderId="44" xfId="0" applyFont="1" applyBorder="1" applyProtection="1"/>
    <xf numFmtId="165" fontId="12" fillId="0" borderId="45" xfId="0" applyFont="1" applyBorder="1" applyProtection="1"/>
    <xf numFmtId="165" fontId="14" fillId="0" borderId="5" xfId="0" applyFont="1" applyBorder="1" applyAlignment="1" applyProtection="1">
      <alignment horizontal="center"/>
    </xf>
    <xf numFmtId="165" fontId="14" fillId="0" borderId="46" xfId="0" applyFont="1" applyBorder="1" applyAlignment="1" applyProtection="1">
      <alignment horizontal="centerContinuous"/>
    </xf>
    <xf numFmtId="165" fontId="12" fillId="0" borderId="2" xfId="0" applyFont="1" applyBorder="1" applyAlignment="1" applyProtection="1">
      <alignment horizontal="centerContinuous"/>
    </xf>
    <xf numFmtId="14" fontId="42" fillId="0" borderId="1" xfId="0" applyNumberFormat="1" applyFont="1" applyBorder="1" applyAlignment="1" applyProtection="1">
      <alignment horizontal="center"/>
    </xf>
    <xf numFmtId="165" fontId="57" fillId="0" borderId="0" xfId="0" applyFont="1" applyAlignment="1">
      <alignment horizontal="right"/>
    </xf>
    <xf numFmtId="174" fontId="61" fillId="0" borderId="61" xfId="0" applyNumberFormat="1" applyFont="1" applyBorder="1" applyProtection="1">
      <protection locked="0"/>
    </xf>
    <xf numFmtId="165" fontId="42" fillId="0" borderId="3" xfId="0" applyFont="1" applyBorder="1" applyAlignment="1" applyProtection="1">
      <protection locked="0"/>
    </xf>
    <xf numFmtId="165" fontId="0" fillId="0" borderId="3" xfId="0" applyBorder="1" applyAlignment="1" applyProtection="1">
      <protection locked="0"/>
    </xf>
    <xf numFmtId="165" fontId="0" fillId="0" borderId="4" xfId="0" applyBorder="1" applyAlignment="1" applyProtection="1">
      <protection locked="0"/>
    </xf>
    <xf numFmtId="165" fontId="43" fillId="0" borderId="2" xfId="0" applyFont="1" applyBorder="1" applyAlignment="1" applyProtection="1">
      <protection locked="0"/>
    </xf>
    <xf numFmtId="165" fontId="30" fillId="0" borderId="25" xfId="0" applyFont="1" applyBorder="1" applyAlignment="1" applyProtection="1">
      <alignment horizontal="center"/>
    </xf>
    <xf numFmtId="0" fontId="58" fillId="0" borderId="47" xfId="0" applyNumberFormat="1" applyFont="1" applyBorder="1" applyAlignment="1" applyProtection="1">
      <alignment horizontal="left"/>
    </xf>
    <xf numFmtId="0" fontId="59" fillId="0" borderId="47" xfId="0" applyNumberFormat="1" applyFont="1" applyBorder="1" applyAlignment="1" applyProtection="1">
      <alignment horizontal="right"/>
    </xf>
    <xf numFmtId="165" fontId="42" fillId="0" borderId="0" xfId="0" applyFont="1" applyAlignment="1" applyProtection="1">
      <alignment vertical="center"/>
    </xf>
    <xf numFmtId="165" fontId="43" fillId="0" borderId="0" xfId="0" applyFont="1" applyAlignment="1" applyProtection="1">
      <alignment horizontal="right" vertical="center"/>
    </xf>
    <xf numFmtId="165" fontId="0" fillId="0" borderId="0" xfId="0" applyAlignment="1" applyProtection="1">
      <alignment vertical="center"/>
    </xf>
    <xf numFmtId="167" fontId="6" fillId="0" borderId="15" xfId="0" applyNumberFormat="1" applyFont="1" applyBorder="1" applyAlignment="1" applyProtection="1">
      <alignment horizontal="right"/>
    </xf>
    <xf numFmtId="171" fontId="30" fillId="0" borderId="36" xfId="0" applyNumberFormat="1" applyFont="1" applyBorder="1" applyAlignment="1" applyProtection="1">
      <alignment horizontal="center"/>
    </xf>
    <xf numFmtId="171" fontId="30" fillId="0" borderId="1" xfId="0" applyNumberFormat="1" applyFont="1" applyBorder="1" applyAlignment="1" applyProtection="1">
      <alignment horizontal="center"/>
    </xf>
    <xf numFmtId="171" fontId="0" fillId="0" borderId="0" xfId="0" applyNumberFormat="1" applyAlignment="1">
      <alignment horizontal="center"/>
    </xf>
    <xf numFmtId="171" fontId="0" fillId="13" borderId="39" xfId="0" applyNumberFormat="1" applyFill="1" applyBorder="1" applyAlignment="1" applyProtection="1">
      <alignment horizontal="center"/>
      <protection locked="0"/>
    </xf>
    <xf numFmtId="171" fontId="42" fillId="0" borderId="1" xfId="0" applyNumberFormat="1" applyFont="1" applyBorder="1" applyAlignment="1" applyProtection="1">
      <alignment horizontal="center"/>
    </xf>
    <xf numFmtId="165" fontId="60" fillId="0" borderId="0" xfId="0" applyFont="1"/>
    <xf numFmtId="1" fontId="30" fillId="0" borderId="36" xfId="0" applyNumberFormat="1" applyFont="1" applyBorder="1" applyAlignment="1" applyProtection="1">
      <alignment horizontal="center"/>
    </xf>
    <xf numFmtId="167" fontId="42" fillId="0" borderId="36" xfId="0" applyNumberFormat="1" applyFont="1" applyBorder="1" applyAlignment="1" applyProtection="1">
      <alignment vertical="center"/>
      <protection locked="0"/>
    </xf>
    <xf numFmtId="167" fontId="42" fillId="0" borderId="1" xfId="0" applyNumberFormat="1" applyFont="1" applyBorder="1" applyAlignment="1" applyProtection="1">
      <alignment vertical="center"/>
      <protection locked="0"/>
    </xf>
    <xf numFmtId="172" fontId="23" fillId="0" borderId="48" xfId="0" applyNumberFormat="1" applyFont="1" applyBorder="1" applyProtection="1"/>
    <xf numFmtId="172" fontId="23" fillId="0" borderId="2" xfId="0" applyNumberFormat="1" applyFont="1" applyBorder="1" applyProtection="1"/>
    <xf numFmtId="172" fontId="23" fillId="0" borderId="49" xfId="0" applyNumberFormat="1" applyFont="1" applyBorder="1" applyProtection="1"/>
    <xf numFmtId="172" fontId="23" fillId="0" borderId="50" xfId="0" applyNumberFormat="1" applyFont="1" applyBorder="1" applyProtection="1"/>
    <xf numFmtId="172" fontId="23" fillId="0" borderId="51" xfId="0" applyNumberFormat="1" applyFont="1" applyBorder="1" applyProtection="1"/>
    <xf numFmtId="171" fontId="23" fillId="0" borderId="1" xfId="0" applyNumberFormat="1" applyFont="1" applyBorder="1" applyProtection="1"/>
    <xf numFmtId="171" fontId="12" fillId="0" borderId="52" xfId="0" applyNumberFormat="1" applyFont="1" applyBorder="1" applyAlignment="1" applyProtection="1">
      <alignment horizontal="center"/>
    </xf>
    <xf numFmtId="165" fontId="62" fillId="0" borderId="0" xfId="0" applyFont="1" applyAlignment="1"/>
    <xf numFmtId="49" fontId="63" fillId="0" borderId="0" xfId="0" applyNumberFormat="1" applyFont="1"/>
    <xf numFmtId="49" fontId="63" fillId="0" borderId="0" xfId="1" applyNumberFormat="1" applyFont="1"/>
    <xf numFmtId="49" fontId="63" fillId="0" borderId="0" xfId="0" applyNumberFormat="1" applyFont="1" applyFill="1"/>
    <xf numFmtId="49" fontId="64" fillId="0" borderId="0" xfId="0" applyNumberFormat="1" applyFont="1"/>
    <xf numFmtId="49" fontId="63" fillId="14" borderId="0" xfId="0" applyNumberFormat="1" applyFont="1" applyFill="1"/>
    <xf numFmtId="0" fontId="29" fillId="15" borderId="0" xfId="0" applyNumberFormat="1" applyFont="1" applyFill="1" applyAlignment="1" applyProtection="1">
      <alignment horizontal="left"/>
    </xf>
    <xf numFmtId="167" fontId="23" fillId="0" borderId="0" xfId="0" applyNumberFormat="1" applyFont="1" applyBorder="1" applyAlignment="1" applyProtection="1">
      <alignment horizontal="center"/>
      <protection locked="0"/>
    </xf>
    <xf numFmtId="165" fontId="31" fillId="0" borderId="53" xfId="0" applyFont="1" applyBorder="1" applyAlignment="1">
      <alignment horizontal="right" wrapText="1"/>
    </xf>
    <xf numFmtId="165" fontId="0" fillId="0" borderId="54" xfId="0" applyBorder="1" applyAlignment="1"/>
    <xf numFmtId="165" fontId="0" fillId="0" borderId="55" xfId="0" applyBorder="1" applyAlignment="1"/>
    <xf numFmtId="165" fontId="0" fillId="0" borderId="56" xfId="0" applyBorder="1" applyAlignment="1"/>
    <xf numFmtId="165" fontId="49" fillId="0" borderId="52" xfId="0" applyFont="1" applyBorder="1" applyAlignment="1"/>
    <xf numFmtId="165" fontId="0" fillId="0" borderId="57" xfId="0" applyBorder="1" applyAlignment="1"/>
    <xf numFmtId="165" fontId="0" fillId="0" borderId="58" xfId="0" applyBorder="1" applyAlignment="1"/>
    <xf numFmtId="165" fontId="49" fillId="0" borderId="52" xfId="0" applyFont="1" applyBorder="1" applyAlignment="1">
      <alignment horizontal="left"/>
    </xf>
    <xf numFmtId="165" fontId="0" fillId="0" borderId="57" xfId="0" applyBorder="1" applyAlignment="1">
      <alignment horizontal="left"/>
    </xf>
    <xf numFmtId="165" fontId="0" fillId="0" borderId="58" xfId="0" applyBorder="1" applyAlignment="1">
      <alignment horizontal="left"/>
    </xf>
    <xf numFmtId="165" fontId="54" fillId="0" borderId="52" xfId="0" applyFont="1" applyBorder="1" applyAlignment="1">
      <alignment horizontal="center"/>
    </xf>
    <xf numFmtId="165" fontId="35" fillId="0" borderId="0" xfId="0" applyFont="1" applyAlignment="1">
      <alignment horizontal="center"/>
    </xf>
    <xf numFmtId="165" fontId="36" fillId="0" borderId="0" xfId="0" applyFont="1" applyAlignment="1">
      <alignment horizontal="center"/>
    </xf>
    <xf numFmtId="165" fontId="37" fillId="0" borderId="0" xfId="0" applyFont="1" applyAlignment="1">
      <alignment horizontal="center"/>
    </xf>
    <xf numFmtId="165" fontId="38" fillId="0" borderId="0" xfId="0" applyFont="1" applyAlignment="1">
      <alignment horizontal="center"/>
    </xf>
    <xf numFmtId="165" fontId="12" fillId="0" borderId="59" xfId="0" applyFont="1" applyBorder="1" applyAlignment="1" applyProtection="1">
      <alignment horizontal="right"/>
    </xf>
    <xf numFmtId="165" fontId="12" fillId="0" borderId="60" xfId="0" applyFont="1" applyBorder="1" applyAlignment="1" applyProtection="1">
      <alignment horizontal="right"/>
    </xf>
    <xf numFmtId="165" fontId="18" fillId="2" borderId="0" xfId="0" applyFont="1" applyFill="1" applyAlignment="1" applyProtection="1">
      <alignment horizontal="left" vertical="center"/>
    </xf>
    <xf numFmtId="165" fontId="0" fillId="0" borderId="0" xfId="0" applyAlignment="1">
      <alignment horizontal="left"/>
    </xf>
    <xf numFmtId="165" fontId="0" fillId="0" borderId="60" xfId="0" applyBorder="1" applyAlignment="1">
      <alignment horizontal="right"/>
    </xf>
    <xf numFmtId="165" fontId="18" fillId="2" borderId="0" xfId="0" applyFont="1" applyFill="1" applyAlignment="1" applyProtection="1">
      <alignment horizontal="center" vertical="center"/>
    </xf>
    <xf numFmtId="165" fontId="0" fillId="0" borderId="0" xfId="0" applyAlignment="1"/>
    <xf numFmtId="165" fontId="43" fillId="2" borderId="2" xfId="0" applyFont="1" applyFill="1" applyBorder="1" applyAlignment="1" applyProtection="1"/>
    <xf numFmtId="165" fontId="0" fillId="0" borderId="4" xfId="0" applyBorder="1" applyAlignment="1"/>
    <xf numFmtId="165" fontId="43" fillId="2" borderId="2" xfId="0" applyFont="1" applyFill="1" applyBorder="1" applyAlignment="1" applyProtection="1">
      <alignment horizontal="center"/>
    </xf>
    <xf numFmtId="165" fontId="47" fillId="0" borderId="2" xfId="0" applyFont="1" applyBorder="1" applyAlignment="1">
      <alignment horizontal="center"/>
    </xf>
    <xf numFmtId="165" fontId="0" fillId="0" borderId="4" xfId="0" applyBorder="1" applyAlignment="1" applyProtection="1">
      <alignment horizontal="center"/>
    </xf>
    <xf numFmtId="165" fontId="28" fillId="0" borderId="0" xfId="0" applyFont="1" applyAlignment="1" applyProtection="1">
      <alignment horizontal="right"/>
    </xf>
    <xf numFmtId="165" fontId="41" fillId="11" borderId="2" xfId="0" applyFont="1" applyFill="1" applyBorder="1" applyAlignment="1" applyProtection="1"/>
    <xf numFmtId="165" fontId="0" fillId="0" borderId="3" xfId="0" applyBorder="1"/>
    <xf numFmtId="165" fontId="0" fillId="0" borderId="4" xfId="0" applyBorder="1"/>
    <xf numFmtId="0" fontId="41" fillId="0" borderId="0" xfId="0" applyNumberFormat="1" applyFont="1" applyAlignment="1" applyProtection="1">
      <alignment horizontal="center" vertical="center"/>
    </xf>
    <xf numFmtId="165" fontId="41" fillId="10" borderId="2" xfId="0" applyFont="1" applyFill="1" applyBorder="1" applyAlignment="1" applyProtection="1"/>
    <xf numFmtId="165" fontId="0" fillId="0" borderId="3" xfId="0" applyBorder="1" applyAlignment="1"/>
    <xf numFmtId="165" fontId="44" fillId="6" borderId="2" xfId="0" applyFont="1" applyFill="1" applyBorder="1" applyAlignment="1" applyProtection="1"/>
    <xf numFmtId="165" fontId="44" fillId="0" borderId="14" xfId="0" applyFont="1" applyBorder="1" applyAlignment="1">
      <alignment horizontal="left"/>
    </xf>
    <xf numFmtId="165" fontId="0" fillId="0" borderId="14" xfId="0" applyBorder="1" applyAlignment="1">
      <alignment horizontal="left"/>
    </xf>
    <xf numFmtId="165" fontId="44" fillId="12" borderId="35" xfId="0" applyFont="1" applyFill="1" applyBorder="1" applyAlignment="1">
      <alignment horizontal="center" wrapText="1"/>
    </xf>
    <xf numFmtId="165" fontId="2" fillId="12" borderId="37" xfId="0" applyFont="1" applyFill="1" applyBorder="1" applyAlignment="1">
      <alignment horizontal="center"/>
    </xf>
    <xf numFmtId="165" fontId="2" fillId="12" borderId="36" xfId="0" applyFont="1" applyFill="1" applyBorder="1" applyAlignment="1">
      <alignment horizontal="center"/>
    </xf>
    <xf numFmtId="165" fontId="30" fillId="2" borderId="2" xfId="0" applyFont="1" applyFill="1" applyBorder="1" applyAlignment="1" applyProtection="1">
      <protection locked="0"/>
    </xf>
    <xf numFmtId="165" fontId="42" fillId="0" borderId="3" xfId="0" applyFont="1" applyBorder="1" applyAlignment="1" applyProtection="1">
      <protection locked="0"/>
    </xf>
    <xf numFmtId="165" fontId="0" fillId="0" borderId="3" xfId="0" applyBorder="1" applyAlignment="1" applyProtection="1">
      <protection locked="0"/>
    </xf>
    <xf numFmtId="165" fontId="0" fillId="0" borderId="4" xfId="0" applyBorder="1" applyAlignment="1" applyProtection="1">
      <protection locked="0"/>
    </xf>
    <xf numFmtId="165" fontId="2" fillId="12" borderId="37" xfId="0" applyFont="1" applyFill="1" applyBorder="1" applyAlignment="1">
      <alignment horizontal="center" wrapText="1"/>
    </xf>
    <xf numFmtId="165" fontId="2" fillId="12" borderId="36" xfId="0" applyFont="1" applyFill="1" applyBorder="1" applyAlignment="1">
      <alignment horizontal="center" wrapText="1"/>
    </xf>
    <xf numFmtId="0" fontId="30" fillId="0" borderId="0" xfId="0" applyNumberFormat="1" applyFont="1" applyBorder="1" applyAlignment="1" applyProtection="1">
      <alignment horizontal="right"/>
    </xf>
    <xf numFmtId="165" fontId="0" fillId="0" borderId="0" xfId="0" applyBorder="1" applyAlignment="1">
      <alignment horizontal="right"/>
    </xf>
    <xf numFmtId="165" fontId="0" fillId="0" borderId="25" xfId="0" applyBorder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1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Workability Factor VS Coarseness Factor </a:t>
            </a:r>
          </a:p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for Combined Aggregate</a:t>
            </a:r>
          </a:p>
        </c:rich>
      </c:tx>
      <c:layout>
        <c:manualLayout>
          <c:xMode val="edge"/>
          <c:yMode val="edge"/>
          <c:x val="0.30508478921918025"/>
          <c:y val="1.9633552036032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961641391614632E-2"/>
          <c:y val="0.18324607329842932"/>
          <c:w val="0.82158786797502226"/>
          <c:h val="0.64659685863874339"/>
        </c:manualLayout>
      </c:layout>
      <c:scatterChart>
        <c:scatterStyle val="lineMarker"/>
        <c:varyColors val="0"/>
        <c:ser>
          <c:idx val="0"/>
          <c:order val="0"/>
          <c:tx>
            <c:v>V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'Gradation Report'!$N$54</c:f>
            </c:numRef>
          </c:xVal>
          <c:yVal>
            <c:numRef>
              <c:f>'Gradation Report'!$O$54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9C-44CC-AF08-1586E2680DAB}"/>
            </c:ext>
          </c:extLst>
        </c:ser>
        <c:ser>
          <c:idx val="1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9C-44CC-AF08-1586E2680DAB}"/>
              </c:ext>
            </c:extLst>
          </c:dPt>
          <c:xVal>
            <c:numRef>
              <c:f>Gradation!$A$3:$A$4</c:f>
              <c:numCache>
                <c:formatCode>0_)</c:formatCode>
                <c:ptCount val="2"/>
                <c:pt idx="0">
                  <c:v>36</c:v>
                </c:pt>
                <c:pt idx="1">
                  <c:v>100</c:v>
                </c:pt>
              </c:numCache>
            </c:numRef>
          </c:xVal>
          <c:yVal>
            <c:numRef>
              <c:f>Gradation!$B$3:$B$4</c:f>
              <c:numCache>
                <c:formatCode>0_)</c:formatCode>
                <c:ptCount val="2"/>
                <c:pt idx="0">
                  <c:v>45</c:v>
                </c:pt>
                <c:pt idx="1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9C-44CC-AF08-1586E2680DAB}"/>
            </c:ext>
          </c:extLst>
        </c:ser>
        <c:ser>
          <c:idx val="3"/>
          <c:order val="2"/>
          <c:spPr>
            <a:ln w="28575">
              <a:noFill/>
            </a:ln>
          </c:spPr>
          <c:marker>
            <c:symbol val="x"/>
            <c:size val="5"/>
            <c:spPr>
              <a:noFill/>
              <a:ln w="9525">
                <a:noFill/>
              </a:ln>
            </c:spPr>
          </c:marker>
          <c:xVal>
            <c:numRef>
              <c:f>Gradation!$A$5:$A$6</c:f>
              <c:numCache>
                <c:formatCode>0_)</c:formatCode>
                <c:ptCount val="2"/>
                <c:pt idx="0">
                  <c:v>45</c:v>
                </c:pt>
                <c:pt idx="1">
                  <c:v>72</c:v>
                </c:pt>
              </c:numCache>
            </c:numRef>
          </c:xVal>
          <c:yVal>
            <c:numRef>
              <c:f>Gradation!$B$5:$B$6</c:f>
              <c:numCache>
                <c:formatCode>0_)</c:formatCode>
                <c:ptCount val="2"/>
                <c:pt idx="0">
                  <c:v>38.6</c:v>
                </c:pt>
                <c:pt idx="1">
                  <c:v>34.805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9C-44CC-AF08-1586E2680DAB}"/>
            </c:ext>
          </c:extLst>
        </c:ser>
        <c:ser>
          <c:idx val="4"/>
          <c:order val="3"/>
          <c:spPr>
            <a:ln w="28575">
              <a:noFill/>
            </a:ln>
          </c:spPr>
          <c:marker>
            <c:symbol val="star"/>
            <c:size val="5"/>
            <c:spPr>
              <a:noFill/>
              <a:ln w="9525">
                <a:noFill/>
              </a:ln>
            </c:spPr>
          </c:marker>
          <c:xVal>
            <c:numRef>
              <c:f>Gradation!$A$7:$A$8</c:f>
              <c:numCache>
                <c:formatCode>0_)</c:formatCode>
                <c:ptCount val="2"/>
                <c:pt idx="0">
                  <c:v>45</c:v>
                </c:pt>
                <c:pt idx="1">
                  <c:v>75</c:v>
                </c:pt>
              </c:numCache>
            </c:numRef>
          </c:xVal>
          <c:yVal>
            <c:numRef>
              <c:f>Gradation!$B$7:$B$8</c:f>
              <c:numCache>
                <c:formatCode>0_)</c:formatCode>
                <c:ptCount val="2"/>
                <c:pt idx="0">
                  <c:v>37.1</c:v>
                </c:pt>
                <c:pt idx="1">
                  <c:v>32.880000000000003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9C-44CC-AF08-1586E2680DAB}"/>
            </c:ext>
          </c:extLst>
        </c:ser>
        <c:ser>
          <c:idx val="5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Gradation!$A$9:$A$10</c:f>
              <c:numCache>
                <c:formatCode>0_)</c:formatCode>
                <c:ptCount val="2"/>
                <c:pt idx="0">
                  <c:v>45</c:v>
                </c:pt>
                <c:pt idx="1">
                  <c:v>72</c:v>
                </c:pt>
              </c:numCache>
            </c:numRef>
          </c:xVal>
          <c:yVal>
            <c:numRef>
              <c:f>Gradation!$B$9:$B$10</c:f>
              <c:numCache>
                <c:formatCode>0_)</c:formatCode>
                <c:ptCount val="2"/>
                <c:pt idx="0">
                  <c:v>34.9</c:v>
                </c:pt>
                <c:pt idx="1">
                  <c:v>31.105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9C-44CC-AF08-1586E2680DAB}"/>
            </c:ext>
          </c:extLst>
        </c:ser>
        <c:ser>
          <c:idx val="6"/>
          <c:order val="5"/>
          <c:spPr>
            <a:ln w="28575">
              <a:noFill/>
            </a:ln>
          </c:spPr>
          <c:marker>
            <c:symbol val="plus"/>
            <c:size val="5"/>
            <c:spPr>
              <a:noFill/>
              <a:ln w="9525">
                <a:noFill/>
              </a:ln>
            </c:spPr>
          </c:marker>
          <c:xVal>
            <c:numRef>
              <c:f>Gradation!$A$11:$A$12</c:f>
              <c:numCache>
                <c:formatCode>0_)</c:formatCode>
                <c:ptCount val="2"/>
                <c:pt idx="0">
                  <c:v>45</c:v>
                </c:pt>
                <c:pt idx="1">
                  <c:v>72</c:v>
                </c:pt>
              </c:numCache>
            </c:numRef>
          </c:xVal>
          <c:yVal>
            <c:numRef>
              <c:f>Gradation!$B$11:$B$12</c:f>
              <c:numCache>
                <c:formatCode>0_)</c:formatCode>
                <c:ptCount val="2"/>
                <c:pt idx="0">
                  <c:v>33.6</c:v>
                </c:pt>
                <c:pt idx="1">
                  <c:v>29.805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9C-44CC-AF08-1586E2680DAB}"/>
            </c:ext>
          </c:extLst>
        </c:ser>
        <c:ser>
          <c:idx val="10"/>
          <c:order val="6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Gradation!$A$37:$A$38</c:f>
              <c:numCache>
                <c:formatCode>0_)</c:formatCode>
                <c:ptCount val="2"/>
                <c:pt idx="0">
                  <c:v>75</c:v>
                </c:pt>
                <c:pt idx="1">
                  <c:v>75</c:v>
                </c:pt>
              </c:numCache>
            </c:numRef>
          </c:xVal>
          <c:yVal>
            <c:numRef>
              <c:f>Gradation!$B$37:$B$38</c:f>
              <c:numCache>
                <c:formatCode>0_)</c:formatCode>
                <c:ptCount val="2"/>
                <c:pt idx="0">
                  <c:v>28.15</c:v>
                </c:pt>
                <c:pt idx="1">
                  <c:v>39.51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A9C-44CC-AF08-1586E2680DAB}"/>
            </c:ext>
          </c:extLst>
        </c:ser>
        <c:ser>
          <c:idx val="11"/>
          <c:order val="7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Gradation!$A$39:$A$40</c:f>
              <c:numCache>
                <c:formatCode>0_)</c:formatCode>
                <c:ptCount val="2"/>
                <c:pt idx="0">
                  <c:v>45</c:v>
                </c:pt>
                <c:pt idx="1">
                  <c:v>45</c:v>
                </c:pt>
              </c:numCache>
            </c:numRef>
          </c:xVal>
          <c:yVal>
            <c:numRef>
              <c:f>Gradation!$B$39:$B$40</c:f>
              <c:numCache>
                <c:formatCode>0_)</c:formatCode>
                <c:ptCount val="2"/>
                <c:pt idx="0">
                  <c:v>43.731875000000002</c:v>
                </c:pt>
                <c:pt idx="1">
                  <c:v>32.5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A9C-44CC-AF08-1586E2680DAB}"/>
            </c:ext>
          </c:extLst>
        </c:ser>
        <c:ser>
          <c:idx val="12"/>
          <c:order val="8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Gradation!$A$41:$A$42</c:f>
              <c:numCache>
                <c:formatCode>0_)</c:formatCode>
                <c:ptCount val="2"/>
                <c:pt idx="0">
                  <c:v>30</c:v>
                </c:pt>
                <c:pt idx="1">
                  <c:v>80</c:v>
                </c:pt>
              </c:numCache>
            </c:numRef>
          </c:xVal>
          <c:yVal>
            <c:numRef>
              <c:f>Gradation!$B$41:$B$42</c:f>
              <c:numCache>
                <c:formatCode>0_)</c:formatCode>
                <c:ptCount val="2"/>
                <c:pt idx="0">
                  <c:v>34.5</c:v>
                </c:pt>
                <c:pt idx="1">
                  <c:v>27.5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A9C-44CC-AF08-1586E2680DAB}"/>
            </c:ext>
          </c:extLst>
        </c:ser>
        <c:ser>
          <c:idx val="2"/>
          <c:order val="9"/>
          <c:tx>
            <c:v>QC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'Gradation Report'!$N$55</c:f>
            </c:numRef>
          </c:xVal>
          <c:yVal>
            <c:numRef>
              <c:f>'Gradation Report'!$O$55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A9C-44CC-AF08-1586E2680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776728"/>
        <c:axId val="332749928"/>
      </c:scatterChart>
      <c:valAx>
        <c:axId val="32777672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Coarseness Factor
(percent)</a:t>
                </a:r>
              </a:p>
            </c:rich>
          </c:tx>
          <c:layout>
            <c:manualLayout>
              <c:xMode val="edge"/>
              <c:yMode val="edge"/>
              <c:x val="0.41748440546853988"/>
              <c:y val="0.88612546673015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2749928"/>
        <c:crosses val="autoZero"/>
        <c:crossBetween val="midCat"/>
        <c:minorUnit val="2"/>
      </c:valAx>
      <c:valAx>
        <c:axId val="332749928"/>
        <c:scaling>
          <c:orientation val="minMax"/>
          <c:max val="4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Workability
(percent)</a:t>
                </a:r>
              </a:p>
            </c:rich>
          </c:tx>
          <c:layout>
            <c:manualLayout>
              <c:xMode val="edge"/>
              <c:yMode val="edge"/>
              <c:x val="8.9201512439963211E-4"/>
              <c:y val="0.438481576934932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776728"/>
        <c:crosses val="autoZero"/>
        <c:crossBetween val="midCat"/>
      </c:valAx>
      <c:spPr>
        <a:gradFill rotWithShape="0">
          <a:gsLst>
            <a:gs pos="0">
              <a:srgbClr val="FFFFCC">
                <a:gamma/>
                <a:tint val="0"/>
                <a:invGamma/>
              </a:srgbClr>
            </a:gs>
            <a:gs pos="100000">
              <a:srgbClr val="FFFFCC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83630298772622613"/>
          <c:y val="0.18137256833823934"/>
          <c:w val="6.1247198904688438E-2"/>
          <c:h val="5.8823549570336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18" workbookViewId="0"/>
  </sheetViews>
  <sheetProtection algorithmName="SHA-512" hashValue="eDmVNjioaaZwaNRZtEGMAWeP4rP2G9YSwI9/8iaz2dBpTqKV1F9qCaaggPDj5+mjdzK+f087ZBmkQccB/vyrAw==" saltValue="ji7aOGXqG5FtsioHtWNGsA==" spinCount="100000" content="1" objects="1"/>
  <pageMargins left="0.75" right="0.75" top="1" bottom="1" header="0.5" footer="0.5"/>
  <pageSetup orientation="landscape" horizontalDpi="4294967294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19050</xdr:rowOff>
    </xdr:from>
    <xdr:to>
      <xdr:col>10</xdr:col>
      <xdr:colOff>257175</xdr:colOff>
      <xdr:row>2</xdr:row>
      <xdr:rowOff>314325</xdr:rowOff>
    </xdr:to>
    <xdr:pic>
      <xdr:nvPicPr>
        <xdr:cNvPr id="6194" name="Picture 3">
          <a:extLst>
            <a:ext uri="{FF2B5EF4-FFF2-40B4-BE49-F238E27FC236}">
              <a16:creationId xmlns:a16="http://schemas.microsoft.com/office/drawing/2014/main" id="{00000000-0008-0000-0700-00003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9050"/>
          <a:ext cx="63436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0572" cy="58360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0.082</cdr:x>
      <cdr:y>0.40675</cdr:y>
    </cdr:from>
    <cdr:to>
      <cdr:x>0.941</cdr:x>
      <cdr:y>0.74075</cdr:y>
    </cdr:to>
    <cdr:grpSp>
      <cdr:nvGrpSpPr>
        <cdr:cNvPr id="20" name="Group 1">
          <a:extLst xmlns:a="http://schemas.openxmlformats.org/drawingml/2006/main">
            <a:ext uri="{FF2B5EF4-FFF2-40B4-BE49-F238E27FC236}">
              <a16:creationId xmlns:a16="http://schemas.microsoft.com/office/drawing/2014/main" id="{0596208C-B8F0-423A-85B1-AA44302FE1F0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703607" y="2373826"/>
          <a:ext cx="7370711" cy="1949251"/>
          <a:chOff x="865823" y="2225335"/>
          <a:chExt cx="7443073" cy="1909096"/>
        </a:xfrm>
      </cdr:grpSpPr>
      <cdr:sp macro="" textlink="">
        <cdr:nvSpPr>
          <cdr:cNvPr id="30722" name="Rectangle 2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65823" y="2225335"/>
            <a:ext cx="756523" cy="308953"/>
          </a:xfrm>
          <a:prstGeom xmlns:a="http://schemas.openxmlformats.org/drawingml/2006/main" prst="rect">
            <a:avLst/>
          </a:prstGeom>
          <a:pattFill xmlns:a="http://schemas.openxmlformats.org/drawingml/2006/main" prst="pct20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0723" name="Freeform 3" descr="20%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1622346" y="2225335"/>
            <a:ext cx="1082278" cy="508607"/>
          </a:xfrm>
          <a:custGeom xmlns:a="http://schemas.openxmlformats.org/drawingml/2006/main">
            <a:avLst/>
            <a:gdLst/>
            <a:ahLst/>
            <a:cxnLst>
              <a:cxn ang="0">
                <a:pos x="0" y="0"/>
              </a:cxn>
              <a:cxn ang="0">
                <a:pos x="314500" y="28598"/>
              </a:cxn>
              <a:cxn ang="0">
                <a:pos x="600409" y="61963"/>
              </a:cxn>
              <a:cxn ang="0">
                <a:pos x="667122" y="81029"/>
              </a:cxn>
              <a:cxn ang="0">
                <a:pos x="767190" y="104861"/>
              </a:cxn>
              <a:cxn ang="0">
                <a:pos x="914910" y="142992"/>
              </a:cxn>
              <a:cxn ang="0">
                <a:pos x="991152" y="176356"/>
              </a:cxn>
              <a:cxn ang="0">
                <a:pos x="1048334" y="200188"/>
              </a:cxn>
              <a:cxn ang="0">
                <a:pos x="1053099" y="510004"/>
              </a:cxn>
              <a:cxn ang="0">
                <a:pos x="957796" y="476639"/>
              </a:cxn>
              <a:cxn ang="0">
                <a:pos x="848197" y="438508"/>
              </a:cxn>
              <a:cxn ang="0">
                <a:pos x="729069" y="405143"/>
              </a:cxn>
              <a:cxn ang="0">
                <a:pos x="428864" y="352713"/>
              </a:cxn>
              <a:cxn ang="0">
                <a:pos x="0" y="314582"/>
              </a:cxn>
              <a:cxn ang="0">
                <a:pos x="0" y="0"/>
              </a:cxn>
            </a:cxnLst>
            <a:rect l="0" t="0" r="r" b="b"/>
            <a:pathLst>
              <a:path w="1053099" h="510004">
                <a:moveTo>
                  <a:pt x="0" y="0"/>
                </a:moveTo>
                <a:lnTo>
                  <a:pt x="314500" y="28598"/>
                </a:lnTo>
                <a:lnTo>
                  <a:pt x="600409" y="61963"/>
                </a:lnTo>
                <a:lnTo>
                  <a:pt x="667122" y="81029"/>
                </a:lnTo>
                <a:lnTo>
                  <a:pt x="767190" y="104861"/>
                </a:lnTo>
                <a:lnTo>
                  <a:pt x="914910" y="142992"/>
                </a:lnTo>
                <a:lnTo>
                  <a:pt x="991152" y="176356"/>
                </a:lnTo>
                <a:lnTo>
                  <a:pt x="1048334" y="200188"/>
                </a:lnTo>
                <a:lnTo>
                  <a:pt x="1053099" y="510004"/>
                </a:lnTo>
                <a:lnTo>
                  <a:pt x="957796" y="476639"/>
                </a:lnTo>
                <a:lnTo>
                  <a:pt x="848197" y="438508"/>
                </a:lnTo>
                <a:lnTo>
                  <a:pt x="729069" y="405143"/>
                </a:lnTo>
                <a:lnTo>
                  <a:pt x="428864" y="352713"/>
                </a:lnTo>
                <a:lnTo>
                  <a:pt x="0" y="314582"/>
                </a:lnTo>
                <a:lnTo>
                  <a:pt x="0" y="0"/>
                </a:lnTo>
                <a:close/>
              </a:path>
            </a:pathLst>
          </a:custGeom>
          <a:pattFill xmlns:a="http://schemas.openxmlformats.org/drawingml/2006/main" prst="pct20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 cap="flat" cmpd="sng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0724" name="AutoShape 4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018877">
            <a:off x="5662093" y="3214302"/>
            <a:ext cx="805901" cy="745808"/>
          </a:xfrm>
          <a:prstGeom xmlns:a="http://schemas.openxmlformats.org/drawingml/2006/main" prst="parallelogram">
            <a:avLst>
              <a:gd name="adj" fmla="val 58736"/>
            </a:avLst>
          </a:prstGeom>
          <a:pattFill xmlns:a="http://schemas.openxmlformats.org/drawingml/2006/main" prst="pct20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0725" name="AutoShape 5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085593">
            <a:off x="4885039" y="2996774"/>
            <a:ext cx="786956" cy="707232"/>
          </a:xfrm>
          <a:prstGeom xmlns:a="http://schemas.openxmlformats.org/drawingml/2006/main" prst="parallelogram">
            <a:avLst>
              <a:gd name="adj" fmla="val 60484"/>
            </a:avLst>
          </a:prstGeom>
          <a:pattFill xmlns:a="http://schemas.openxmlformats.org/drawingml/2006/main" prst="pct20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0726" name="AutoShape 6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148673">
            <a:off x="3425014" y="2602568"/>
            <a:ext cx="770925" cy="634365"/>
          </a:xfrm>
          <a:prstGeom xmlns:a="http://schemas.openxmlformats.org/drawingml/2006/main" prst="parallelogram">
            <a:avLst>
              <a:gd name="adj" fmla="val 66058"/>
            </a:avLst>
          </a:prstGeom>
          <a:pattFill xmlns:a="http://schemas.openxmlformats.org/drawingml/2006/main" prst="pct20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0727" name="AutoShape 7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6966154">
            <a:off x="2677663" y="2330992"/>
            <a:ext cx="782583" cy="728662"/>
          </a:xfrm>
          <a:prstGeom xmlns:a="http://schemas.openxmlformats.org/drawingml/2006/main" prst="parallelogram">
            <a:avLst>
              <a:gd name="adj" fmla="val 58379"/>
            </a:avLst>
          </a:prstGeom>
          <a:pattFill xmlns:a="http://schemas.openxmlformats.org/drawingml/2006/main" prst="pct20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0728" name="AutoShape 8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-17085593">
            <a:off x="4095298" y="2766303"/>
            <a:ext cx="786955" cy="722233"/>
          </a:xfrm>
          <a:prstGeom xmlns:a="http://schemas.openxmlformats.org/drawingml/2006/main" prst="parallelogram">
            <a:avLst>
              <a:gd name="adj" fmla="val 59228"/>
            </a:avLst>
          </a:prstGeom>
          <a:pattFill xmlns:a="http://schemas.openxmlformats.org/drawingml/2006/main" prst="pct20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0729" name="Rectangle 9" descr="20%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578090" y="3793417"/>
            <a:ext cx="730806" cy="317697"/>
          </a:xfrm>
          <a:prstGeom xmlns:a="http://schemas.openxmlformats.org/drawingml/2006/main" prst="rect">
            <a:avLst/>
          </a:prstGeom>
          <a:pattFill xmlns:a="http://schemas.openxmlformats.org/drawingml/2006/main" prst="pct20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0730" name="Freeform 10" descr="20%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6431518" y="3535470"/>
            <a:ext cx="550783" cy="543583"/>
          </a:xfrm>
          <a:custGeom xmlns:a="http://schemas.openxmlformats.org/drawingml/2006/main">
            <a:avLst/>
            <a:gdLst/>
            <a:ahLst/>
            <a:cxnLst>
              <a:cxn ang="0">
                <a:pos x="0" y="0"/>
              </a:cxn>
              <a:cxn ang="0">
                <a:pos x="162015" y="52431"/>
              </a:cxn>
              <a:cxn ang="0">
                <a:pos x="300204" y="100094"/>
              </a:cxn>
              <a:cxn ang="0">
                <a:pos x="448268" y="167566"/>
              </a:cxn>
              <a:cxn ang="0">
                <a:pos x="552757" y="209856"/>
              </a:cxn>
              <a:cxn ang="0">
                <a:pos x="544071" y="538602"/>
              </a:cxn>
              <a:cxn ang="0">
                <a:pos x="445506" y="501475"/>
              </a:cxn>
              <a:cxn ang="0">
                <a:pos x="373901" y="469876"/>
              </a:cxn>
              <a:cxn ang="0">
                <a:pos x="269413" y="427585"/>
              </a:cxn>
              <a:cxn ang="0">
                <a:pos x="147720" y="381311"/>
              </a:cxn>
              <a:cxn ang="0">
                <a:pos x="47647" y="324101"/>
              </a:cxn>
              <a:cxn ang="0">
                <a:pos x="0" y="0"/>
              </a:cxn>
            </a:cxnLst>
            <a:rect l="0" t="0" r="r" b="b"/>
            <a:pathLst>
              <a:path w="552757" h="538602">
                <a:moveTo>
                  <a:pt x="0" y="0"/>
                </a:moveTo>
                <a:lnTo>
                  <a:pt x="162015" y="52431"/>
                </a:lnTo>
                <a:lnTo>
                  <a:pt x="300204" y="100094"/>
                </a:lnTo>
                <a:lnTo>
                  <a:pt x="448268" y="167566"/>
                </a:lnTo>
                <a:lnTo>
                  <a:pt x="552757" y="209856"/>
                </a:lnTo>
                <a:lnTo>
                  <a:pt x="544071" y="538602"/>
                </a:lnTo>
                <a:lnTo>
                  <a:pt x="445506" y="501475"/>
                </a:lnTo>
                <a:lnTo>
                  <a:pt x="373901" y="469876"/>
                </a:lnTo>
                <a:lnTo>
                  <a:pt x="269413" y="427585"/>
                </a:lnTo>
                <a:lnTo>
                  <a:pt x="147720" y="381311"/>
                </a:lnTo>
                <a:lnTo>
                  <a:pt x="47647" y="324101"/>
                </a:lnTo>
                <a:lnTo>
                  <a:pt x="0" y="0"/>
                </a:lnTo>
                <a:close/>
              </a:path>
            </a:pathLst>
          </a:custGeom>
          <a:pattFill xmlns:a="http://schemas.openxmlformats.org/drawingml/2006/main" prst="pct20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 cap="flat" cmpd="sng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0731" name="Freeform 11" descr="20%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6930866" y="3723465"/>
            <a:ext cx="647224" cy="410966"/>
          </a:xfrm>
          <a:custGeom xmlns:a="http://schemas.openxmlformats.org/drawingml/2006/main">
            <a:avLst/>
            <a:gdLst/>
            <a:ahLst/>
            <a:cxnLst>
              <a:cxn ang="0">
                <a:pos x="0" y="0"/>
              </a:cxn>
              <a:cxn ang="0">
                <a:pos x="150060" y="30969"/>
              </a:cxn>
              <a:cxn ang="0">
                <a:pos x="278683" y="47645"/>
              </a:cxn>
              <a:cxn ang="0">
                <a:pos x="540693" y="69085"/>
              </a:cxn>
              <a:cxn ang="0">
                <a:pos x="676462" y="69085"/>
              </a:cxn>
              <a:cxn ang="0">
                <a:pos x="676462" y="383538"/>
              </a:cxn>
              <a:cxn ang="0">
                <a:pos x="421598" y="366862"/>
              </a:cxn>
              <a:cxn ang="0">
                <a:pos x="247718" y="352569"/>
              </a:cxn>
              <a:cxn ang="0">
                <a:pos x="102422" y="333511"/>
              </a:cxn>
              <a:cxn ang="0">
                <a:pos x="0" y="309689"/>
              </a:cxn>
              <a:cxn ang="0">
                <a:pos x="0" y="0"/>
              </a:cxn>
            </a:cxnLst>
            <a:rect l="0" t="0" r="r" b="b"/>
            <a:pathLst>
              <a:path w="676462" h="383538">
                <a:moveTo>
                  <a:pt x="0" y="0"/>
                </a:moveTo>
                <a:lnTo>
                  <a:pt x="150060" y="30969"/>
                </a:lnTo>
                <a:lnTo>
                  <a:pt x="278683" y="47645"/>
                </a:lnTo>
                <a:lnTo>
                  <a:pt x="540693" y="69085"/>
                </a:lnTo>
                <a:lnTo>
                  <a:pt x="676462" y="69085"/>
                </a:lnTo>
                <a:lnTo>
                  <a:pt x="676462" y="383538"/>
                </a:lnTo>
                <a:lnTo>
                  <a:pt x="421598" y="366862"/>
                </a:lnTo>
                <a:lnTo>
                  <a:pt x="247718" y="352569"/>
                </a:lnTo>
                <a:lnTo>
                  <a:pt x="102422" y="333511"/>
                </a:lnTo>
                <a:lnTo>
                  <a:pt x="0" y="309689"/>
                </a:lnTo>
                <a:lnTo>
                  <a:pt x="0" y="0"/>
                </a:lnTo>
                <a:close/>
              </a:path>
            </a:pathLst>
          </a:custGeom>
          <a:pattFill xmlns:a="http://schemas.openxmlformats.org/drawingml/2006/main" prst="pct20">
            <a:fgClr>
              <a:srgbClr val="808080">
                <a:alpha val="50000"/>
              </a:srgbClr>
            </a:fgClr>
            <a:bgClr>
              <a:srgbClr val="FFFFFF">
                <a:alpha val="50000"/>
              </a:srgbClr>
            </a:bgClr>
          </a:pattFill>
          <a:ln xmlns:a="http://schemas.openxmlformats.org/drawingml/2006/main" w="9525" cap="flat" cmpd="sng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0.74827</cdr:x>
      <cdr:y>0.21805</cdr:y>
    </cdr:from>
    <cdr:to>
      <cdr:x>0.78148</cdr:x>
      <cdr:y>0.26645</cdr:y>
    </cdr:to>
    <cdr:sp macro="" textlink="">
      <cdr:nvSpPr>
        <cdr:cNvPr id="3073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294" y="1271084"/>
          <a:ext cx="284053" cy="282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2004" rIns="36576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IV</a:t>
          </a:r>
        </a:p>
      </cdr:txBody>
    </cdr:sp>
  </cdr:relSizeAnchor>
  <cdr:relSizeAnchor xmlns:cdr="http://schemas.openxmlformats.org/drawingml/2006/chartDrawing">
    <cdr:from>
      <cdr:x>0.47542</cdr:x>
      <cdr:y>0.45398</cdr:y>
    </cdr:from>
    <cdr:to>
      <cdr:x>0.5013</cdr:x>
      <cdr:y>0.5022</cdr:y>
    </cdr:to>
    <cdr:sp macro="" textlink="">
      <cdr:nvSpPr>
        <cdr:cNvPr id="3073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2846" y="2650271"/>
          <a:ext cx="222253" cy="281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2004" rIns="36576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75" b="1" i="0" u="none" strike="noStrike" baseline="0">
              <a:solidFill>
                <a:schemeClr val="tx1"/>
              </a:solidFill>
              <a:latin typeface="Times New Roman"/>
              <a:cs typeface="Times New Roman"/>
            </a:rPr>
            <a:t>II</a:t>
          </a:r>
        </a:p>
      </cdr:txBody>
    </cdr:sp>
  </cdr:relSizeAnchor>
  <cdr:relSizeAnchor xmlns:cdr="http://schemas.openxmlformats.org/drawingml/2006/chartDrawing">
    <cdr:from>
      <cdr:x>0.794</cdr:x>
      <cdr:y>0.5015</cdr:y>
    </cdr:from>
    <cdr:to>
      <cdr:x>0.80692</cdr:x>
      <cdr:y>0.54435</cdr:y>
    </cdr:to>
    <cdr:sp macro="" textlink="">
      <cdr:nvSpPr>
        <cdr:cNvPr id="3073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1439" y="2923394"/>
          <a:ext cx="110543" cy="249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</a:t>
          </a:r>
        </a:p>
      </cdr:txBody>
    </cdr:sp>
  </cdr:relSizeAnchor>
  <cdr:relSizeAnchor xmlns:cdr="http://schemas.openxmlformats.org/drawingml/2006/chartDrawing">
    <cdr:from>
      <cdr:x>0.34025</cdr:x>
      <cdr:y>0.2375</cdr:y>
    </cdr:from>
    <cdr:to>
      <cdr:x>0.37043</cdr:x>
      <cdr:y>0.28041</cdr:y>
    </cdr:to>
    <cdr:sp macro="" textlink="">
      <cdr:nvSpPr>
        <cdr:cNvPr id="30739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9235" y="1484528"/>
          <a:ext cx="257763" cy="249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III</a:t>
          </a:r>
        </a:p>
      </cdr:txBody>
    </cdr:sp>
  </cdr:relSizeAnchor>
  <cdr:relSizeAnchor xmlns:cdr="http://schemas.openxmlformats.org/drawingml/2006/chartDrawing">
    <cdr:from>
      <cdr:x>0.2105</cdr:x>
      <cdr:y>0.58575</cdr:y>
    </cdr:from>
    <cdr:to>
      <cdr:x>0.23079</cdr:x>
      <cdr:y>0.6286</cdr:y>
    </cdr:to>
    <cdr:sp macro="" textlink="">
      <cdr:nvSpPr>
        <cdr:cNvPr id="3074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0501" y="3414512"/>
          <a:ext cx="173509" cy="249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</a:t>
          </a:r>
        </a:p>
      </cdr:txBody>
    </cdr:sp>
  </cdr:relSizeAnchor>
  <cdr:relSizeAnchor xmlns:cdr="http://schemas.openxmlformats.org/drawingml/2006/chartDrawing">
    <cdr:from>
      <cdr:x>0.511</cdr:x>
      <cdr:y>0.539</cdr:y>
    </cdr:from>
    <cdr:to>
      <cdr:x>0.52525</cdr:x>
      <cdr:y>0.584</cdr:y>
    </cdr:to>
    <cdr:sp macro="" textlink="">
      <cdr:nvSpPr>
        <cdr:cNvPr id="3074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4972" y="3181548"/>
          <a:ext cx="121724" cy="251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0.24025</cdr:x>
      <cdr:y>0.10175</cdr:y>
    </cdr:from>
    <cdr:to>
      <cdr:x>0.83775</cdr:x>
      <cdr:y>0.13525</cdr:y>
    </cdr:to>
    <cdr:sp macro="" textlink="">
      <cdr:nvSpPr>
        <cdr:cNvPr id="3074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9304" y="663672"/>
          <a:ext cx="5073960" cy="2212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1" u="none" strike="noStrike" baseline="0">
              <a:solidFill>
                <a:srgbClr val="000000"/>
              </a:solidFill>
              <a:latin typeface="Arial"/>
              <a:cs typeface="Arial"/>
            </a:rPr>
            <a:t>Assumptions: 564 lbs cement per cubic yard, 1 inch Aggregate,  and Slipformed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F151"/>
  <sheetViews>
    <sheetView tabSelected="1" defaultGridColor="0" view="pageBreakPreview" colorId="22" zoomScale="75" zoomScaleNormal="60" zoomScaleSheetLayoutView="75" workbookViewId="0">
      <pane xSplit="1" topLeftCell="B1" activePane="topRight" state="frozen"/>
      <selection pane="topRight" activeCell="B28" sqref="B28"/>
    </sheetView>
  </sheetViews>
  <sheetFormatPr defaultColWidth="11.109375" defaultRowHeight="23.25"/>
  <cols>
    <col min="1" max="1" width="41.5546875" style="88" customWidth="1"/>
    <col min="2" max="2" width="31.77734375" style="91" customWidth="1"/>
    <col min="3" max="3" width="11.44140625" style="120" customWidth="1"/>
    <col min="4" max="4" width="45.109375" customWidth="1"/>
    <col min="5" max="5" width="11.109375" style="264" customWidth="1"/>
  </cols>
  <sheetData>
    <row r="1" spans="1:6" ht="21" customHeight="1">
      <c r="A1" s="9" t="s">
        <v>0</v>
      </c>
      <c r="B1" s="89"/>
      <c r="C1" s="207" t="s">
        <v>294</v>
      </c>
      <c r="F1" s="206"/>
    </row>
    <row r="2" spans="1:6" ht="21" customHeight="1">
      <c r="A2" s="9" t="s">
        <v>1</v>
      </c>
      <c r="B2" s="119"/>
      <c r="E2" s="265" t="s">
        <v>173</v>
      </c>
      <c r="F2" s="206"/>
    </row>
    <row r="3" spans="1:6" ht="21" customHeight="1">
      <c r="A3" s="9" t="s">
        <v>2</v>
      </c>
      <c r="B3" s="119"/>
      <c r="E3" s="265" t="s">
        <v>174</v>
      </c>
      <c r="F3" s="206"/>
    </row>
    <row r="4" spans="1:6" ht="21" customHeight="1">
      <c r="A4" s="9" t="s">
        <v>3</v>
      </c>
      <c r="B4" s="89"/>
      <c r="E4" s="265" t="s">
        <v>175</v>
      </c>
      <c r="F4" s="206"/>
    </row>
    <row r="5" spans="1:6" ht="21" customHeight="1">
      <c r="A5" s="9" t="s">
        <v>3</v>
      </c>
      <c r="B5" s="89"/>
      <c r="E5" s="265" t="s">
        <v>176</v>
      </c>
      <c r="F5" s="206"/>
    </row>
    <row r="6" spans="1:6" ht="21" customHeight="1">
      <c r="A6" s="9" t="s">
        <v>3</v>
      </c>
      <c r="B6" s="89"/>
      <c r="E6" s="265" t="s">
        <v>177</v>
      </c>
      <c r="F6" s="206"/>
    </row>
    <row r="7" spans="1:6" ht="21" customHeight="1">
      <c r="A7" s="9" t="s">
        <v>3</v>
      </c>
      <c r="B7" s="89"/>
      <c r="E7" s="266" t="s">
        <v>257</v>
      </c>
      <c r="F7" s="206"/>
    </row>
    <row r="8" spans="1:6" ht="21" customHeight="1">
      <c r="A8" s="9" t="s">
        <v>4</v>
      </c>
      <c r="B8" s="89"/>
      <c r="E8" s="266" t="s">
        <v>258</v>
      </c>
      <c r="F8" s="206"/>
    </row>
    <row r="9" spans="1:6" ht="21" customHeight="1">
      <c r="A9" s="9" t="s">
        <v>5</v>
      </c>
      <c r="B9" s="89"/>
      <c r="E9" s="266" t="s">
        <v>259</v>
      </c>
      <c r="F9" s="206"/>
    </row>
    <row r="10" spans="1:6" ht="21" customHeight="1">
      <c r="A10" s="9" t="s">
        <v>6</v>
      </c>
      <c r="B10" s="89"/>
      <c r="E10" s="266" t="s">
        <v>260</v>
      </c>
      <c r="F10" s="206"/>
    </row>
    <row r="11" spans="1:6" ht="21" customHeight="1">
      <c r="A11" s="9" t="s">
        <v>7</v>
      </c>
      <c r="B11" s="89"/>
      <c r="E11" s="265" t="s">
        <v>178</v>
      </c>
      <c r="F11" s="206"/>
    </row>
    <row r="12" spans="1:6" ht="21" customHeight="1">
      <c r="A12" s="9" t="s">
        <v>8</v>
      </c>
      <c r="B12" s="89"/>
      <c r="E12" s="265" t="s">
        <v>179</v>
      </c>
      <c r="F12" s="206"/>
    </row>
    <row r="13" spans="1:6" ht="21" customHeight="1">
      <c r="A13" s="9" t="s">
        <v>49</v>
      </c>
      <c r="B13" s="89"/>
      <c r="E13" s="265" t="s">
        <v>180</v>
      </c>
      <c r="F13" s="206"/>
    </row>
    <row r="14" spans="1:6" ht="21" customHeight="1">
      <c r="A14" s="9" t="s">
        <v>148</v>
      </c>
      <c r="B14" s="89"/>
      <c r="E14" s="265" t="s">
        <v>181</v>
      </c>
      <c r="F14" s="206"/>
    </row>
    <row r="15" spans="1:6" ht="21" customHeight="1">
      <c r="A15" s="9" t="s">
        <v>149</v>
      </c>
      <c r="B15" s="89"/>
      <c r="E15" s="265" t="s">
        <v>182</v>
      </c>
      <c r="F15" s="206"/>
    </row>
    <row r="16" spans="1:6" ht="21" customHeight="1">
      <c r="A16" s="9" t="s">
        <v>150</v>
      </c>
      <c r="B16" s="89"/>
      <c r="E16" s="265" t="s">
        <v>183</v>
      </c>
      <c r="F16" s="206"/>
    </row>
    <row r="17" spans="1:6" ht="21" customHeight="1">
      <c r="A17" s="9" t="s">
        <v>151</v>
      </c>
      <c r="B17" s="89"/>
      <c r="E17" s="265" t="s">
        <v>184</v>
      </c>
      <c r="F17" s="206"/>
    </row>
    <row r="18" spans="1:6" ht="21" customHeight="1">
      <c r="A18" s="9" t="s">
        <v>152</v>
      </c>
      <c r="B18" s="89"/>
      <c r="E18" s="265" t="s">
        <v>185</v>
      </c>
      <c r="F18" s="206"/>
    </row>
    <row r="19" spans="1:6" ht="21" customHeight="1">
      <c r="A19" s="9" t="s">
        <v>153</v>
      </c>
      <c r="B19" s="89"/>
      <c r="E19" s="265" t="s">
        <v>186</v>
      </c>
      <c r="F19" s="206"/>
    </row>
    <row r="20" spans="1:6" ht="21" customHeight="1">
      <c r="A20" s="9" t="s">
        <v>154</v>
      </c>
      <c r="B20" s="89"/>
      <c r="E20" s="266" t="s">
        <v>261</v>
      </c>
      <c r="F20" s="206"/>
    </row>
    <row r="21" spans="1:6" ht="21" customHeight="1">
      <c r="A21" s="9" t="s">
        <v>155</v>
      </c>
      <c r="B21" s="89"/>
      <c r="E21" s="266" t="s">
        <v>262</v>
      </c>
      <c r="F21" s="206"/>
    </row>
    <row r="22" spans="1:6" ht="21" customHeight="1">
      <c r="A22" s="9" t="s">
        <v>94</v>
      </c>
      <c r="B22" s="90"/>
      <c r="E22" s="266" t="s">
        <v>263</v>
      </c>
      <c r="F22" s="206"/>
    </row>
    <row r="23" spans="1:6" ht="21" customHeight="1">
      <c r="A23" s="9" t="s">
        <v>9</v>
      </c>
      <c r="B23" s="89"/>
      <c r="E23" s="266" t="s">
        <v>264</v>
      </c>
      <c r="F23" s="206"/>
    </row>
    <row r="24" spans="1:6" ht="21" customHeight="1">
      <c r="A24" s="9" t="s">
        <v>156</v>
      </c>
      <c r="B24" s="89"/>
      <c r="C24" s="120" t="s">
        <v>97</v>
      </c>
      <c r="E24" s="267" t="s">
        <v>187</v>
      </c>
      <c r="F24" s="206"/>
    </row>
    <row r="25" spans="1:6" ht="21" customHeight="1">
      <c r="A25" s="9" t="s">
        <v>95</v>
      </c>
      <c r="B25" s="89"/>
      <c r="E25" s="265" t="s">
        <v>188</v>
      </c>
      <c r="F25" s="206"/>
    </row>
    <row r="26" spans="1:6" ht="21" customHeight="1">
      <c r="A26" s="9" t="s">
        <v>91</v>
      </c>
      <c r="B26" s="89"/>
      <c r="E26" s="265" t="s">
        <v>189</v>
      </c>
      <c r="F26" s="206"/>
    </row>
    <row r="27" spans="1:6" ht="21" customHeight="1">
      <c r="A27" s="9" t="s">
        <v>286</v>
      </c>
      <c r="B27" s="89"/>
      <c r="C27" s="120" t="s">
        <v>287</v>
      </c>
      <c r="E27" s="265" t="s">
        <v>190</v>
      </c>
      <c r="F27" s="206"/>
    </row>
    <row r="28" spans="1:6" ht="21" customHeight="1">
      <c r="A28" s="9" t="s">
        <v>96</v>
      </c>
      <c r="B28" s="89"/>
      <c r="E28" s="265" t="s">
        <v>191</v>
      </c>
      <c r="F28" s="206"/>
    </row>
    <row r="29" spans="1:6" ht="21" customHeight="1">
      <c r="A29" s="9" t="s">
        <v>10</v>
      </c>
      <c r="B29" s="89"/>
      <c r="E29" s="265" t="s">
        <v>192</v>
      </c>
      <c r="F29" s="206"/>
    </row>
    <row r="30" spans="1:6" ht="21" customHeight="1">
      <c r="A30" s="9" t="s">
        <v>157</v>
      </c>
      <c r="B30" s="89"/>
      <c r="C30" s="120" t="s">
        <v>98</v>
      </c>
      <c r="E30" s="265" t="s">
        <v>193</v>
      </c>
      <c r="F30" s="206"/>
    </row>
    <row r="31" spans="1:6" ht="21" customHeight="1">
      <c r="A31" s="9" t="s">
        <v>11</v>
      </c>
      <c r="B31" s="89"/>
      <c r="E31" s="265" t="s">
        <v>194</v>
      </c>
      <c r="F31" s="206"/>
    </row>
    <row r="32" spans="1:6" ht="21" customHeight="1">
      <c r="A32" s="9" t="s">
        <v>12</v>
      </c>
      <c r="B32" s="89"/>
      <c r="E32" s="265" t="s">
        <v>195</v>
      </c>
      <c r="F32" s="206"/>
    </row>
    <row r="33" spans="1:6" ht="21" customHeight="1">
      <c r="A33" s="9" t="s">
        <v>158</v>
      </c>
      <c r="B33" s="208" t="str">
        <f>IF($B$24=3,"100",IF($B$24=4,"100",""))</f>
        <v/>
      </c>
      <c r="E33" s="265" t="s">
        <v>196</v>
      </c>
      <c r="F33" s="206"/>
    </row>
    <row r="34" spans="1:6" ht="21" customHeight="1">
      <c r="A34" s="9" t="s">
        <v>159</v>
      </c>
      <c r="B34" s="208" t="str">
        <f>IF($B$24=3,"95-100",IF($B$24=4,"50-100",IF($B$24=5,"100","")))</f>
        <v/>
      </c>
      <c r="E34" s="265" t="s">
        <v>197</v>
      </c>
      <c r="F34" s="206"/>
    </row>
    <row r="35" spans="1:6" ht="21" customHeight="1">
      <c r="A35" s="9" t="s">
        <v>160</v>
      </c>
      <c r="B35" s="208" t="str">
        <f>IF($B$24=4,"30-100",IF($B$24=5,"90-100",IF($B$24=6,"100","")))</f>
        <v/>
      </c>
      <c r="E35" s="265" t="s">
        <v>198</v>
      </c>
      <c r="F35" s="206"/>
    </row>
    <row r="36" spans="1:6" ht="21" customHeight="1">
      <c r="A36" s="9" t="s">
        <v>161</v>
      </c>
      <c r="B36" s="208" t="str">
        <f>IF($B$24=3,"25-60",IF($B$24=4,"20-75",IF($B$24=6,"97-100","")))</f>
        <v/>
      </c>
      <c r="E36" s="266" t="s">
        <v>265</v>
      </c>
      <c r="F36" s="206"/>
    </row>
    <row r="37" spans="1:6" ht="21" customHeight="1">
      <c r="A37" s="9" t="s">
        <v>162</v>
      </c>
      <c r="B37" s="208" t="str">
        <f>IF($B$24=4,"5-55",IF($B$24=5,"20-55",IF($B$24=6,"40-90","")))</f>
        <v/>
      </c>
      <c r="E37" s="266" t="s">
        <v>266</v>
      </c>
      <c r="F37" s="206"/>
    </row>
    <row r="38" spans="1:6" ht="21" customHeight="1">
      <c r="A38" s="9" t="s">
        <v>163</v>
      </c>
      <c r="B38" s="208" t="str">
        <f>IF($B$24=3,"0-10",IF($B$24=4,"0-10",IF($B$24=5,"0-10",IF($B$24=6,"0-30",""))))</f>
        <v/>
      </c>
      <c r="E38" s="266" t="s">
        <v>267</v>
      </c>
      <c r="F38" s="206"/>
    </row>
    <row r="39" spans="1:6" ht="21" customHeight="1">
      <c r="A39" s="9" t="s">
        <v>164</v>
      </c>
      <c r="B39" s="208" t="str">
        <f>IF($B$24=3,"0-5",IF($B$24=4,"0-5",IF($B$24=5,"0-5","")))</f>
        <v/>
      </c>
      <c r="E39" s="266" t="s">
        <v>268</v>
      </c>
      <c r="F39" s="206"/>
    </row>
    <row r="40" spans="1:6" ht="21" customHeight="1">
      <c r="A40" s="9" t="s">
        <v>165</v>
      </c>
      <c r="B40" s="208" t="str">
        <f>IF($C$40=2.5,"0-2.5",IF($B$24=3,"0-1.5",IF($B$24=4,"0-1.5",IF($B$24=5,"0-1.5",IF($B$24=6,"0-1.5","")))))</f>
        <v>0-2.5</v>
      </c>
      <c r="C40" s="174">
        <v>2.5</v>
      </c>
      <c r="D40" s="120" t="s">
        <v>137</v>
      </c>
      <c r="E40" s="266" t="s">
        <v>269</v>
      </c>
      <c r="F40" s="206"/>
    </row>
    <row r="41" spans="1:6" ht="21" customHeight="1">
      <c r="A41" s="9" t="s">
        <v>288</v>
      </c>
      <c r="B41" s="270" t="str">
        <f>IF(B27=6,"100","")</f>
        <v/>
      </c>
      <c r="C41" s="271"/>
      <c r="D41" s="120"/>
      <c r="E41" s="266" t="s">
        <v>270</v>
      </c>
      <c r="F41" s="206"/>
    </row>
    <row r="42" spans="1:6" ht="21" customHeight="1">
      <c r="A42" s="9" t="s">
        <v>289</v>
      </c>
      <c r="B42" s="270" t="str">
        <f>IF(B27=6,"90-100",IF(B27=2,"95-100",""))</f>
        <v/>
      </c>
      <c r="C42" s="271"/>
      <c r="D42" s="120"/>
      <c r="E42" s="266" t="s">
        <v>271</v>
      </c>
      <c r="F42" s="206"/>
    </row>
    <row r="43" spans="1:6" ht="21" customHeight="1">
      <c r="A43" s="9" t="s">
        <v>290</v>
      </c>
      <c r="B43" s="270" t="str">
        <f>IF(B27=6,"40-90","")</f>
        <v/>
      </c>
      <c r="C43" s="271"/>
      <c r="D43" s="120"/>
      <c r="E43" s="266" t="s">
        <v>78</v>
      </c>
      <c r="F43" s="206"/>
    </row>
    <row r="44" spans="1:6" ht="21" customHeight="1">
      <c r="A44" s="9" t="s">
        <v>291</v>
      </c>
      <c r="B44" s="270" t="str">
        <f>IF(B27=6,"0-30","")</f>
        <v/>
      </c>
      <c r="C44" s="271"/>
      <c r="D44" s="120"/>
      <c r="E44" s="266" t="s">
        <v>272</v>
      </c>
      <c r="F44" s="206"/>
    </row>
    <row r="45" spans="1:6" ht="21" customHeight="1">
      <c r="A45" s="9" t="s">
        <v>292</v>
      </c>
      <c r="B45" s="270" t="str">
        <f>IF(B27=2,"0-10","")</f>
        <v/>
      </c>
      <c r="C45" s="271"/>
      <c r="D45" s="120"/>
      <c r="E45" s="265" t="s">
        <v>273</v>
      </c>
      <c r="F45" s="206"/>
    </row>
    <row r="46" spans="1:6" ht="21" customHeight="1">
      <c r="A46" s="9" t="s">
        <v>293</v>
      </c>
      <c r="B46" s="270" t="str">
        <f>IF(AND(B27=6, C40=1.5), "0-1.5", IF(AND(B27=6, C40=2.5),"0-2.5",""))</f>
        <v/>
      </c>
      <c r="C46" s="271"/>
      <c r="D46" s="120"/>
      <c r="E46" s="265" t="s">
        <v>199</v>
      </c>
      <c r="F46" s="206"/>
    </row>
    <row r="47" spans="1:6" ht="21" customHeight="1">
      <c r="A47" s="9" t="s">
        <v>166</v>
      </c>
      <c r="B47" s="209" t="str">
        <f>IF($B$30=1,"100","")</f>
        <v/>
      </c>
      <c r="E47" s="265" t="s">
        <v>200</v>
      </c>
      <c r="F47" s="206"/>
    </row>
    <row r="48" spans="1:6">
      <c r="A48" s="9" t="s">
        <v>167</v>
      </c>
      <c r="B48" s="209" t="str">
        <f>IF($B$30=1,"90-100",IF($B$30=7,"80-92",""))</f>
        <v/>
      </c>
      <c r="E48" s="265" t="s">
        <v>201</v>
      </c>
      <c r="F48" s="206"/>
    </row>
    <row r="49" spans="1:6">
      <c r="A49" s="9" t="s">
        <v>168</v>
      </c>
      <c r="B49" s="209" t="str">
        <f>IF($B$30=1,"70-100",IF($B$30=7,"60-75",""))</f>
        <v/>
      </c>
      <c r="E49" s="265" t="s">
        <v>274</v>
      </c>
      <c r="F49" s="206"/>
    </row>
    <row r="50" spans="1:6">
      <c r="A50" s="9" t="s">
        <v>169</v>
      </c>
      <c r="B50" s="209" t="str">
        <f>IF($B$30=1,"10-60",IF($B$30=7,"20-40",""))</f>
        <v/>
      </c>
      <c r="E50" s="265" t="s">
        <v>202</v>
      </c>
      <c r="F50" s="206"/>
    </row>
    <row r="51" spans="1:6">
      <c r="A51" s="9" t="s">
        <v>170</v>
      </c>
      <c r="B51" s="209" t="str">
        <f>IF($B$30=1,"0-1.5","")</f>
        <v/>
      </c>
      <c r="E51" s="265" t="s">
        <v>203</v>
      </c>
      <c r="F51" s="206"/>
    </row>
    <row r="52" spans="1:6">
      <c r="A52" s="172" t="s">
        <v>171</v>
      </c>
      <c r="B52" s="89"/>
      <c r="E52" s="265" t="s">
        <v>275</v>
      </c>
      <c r="F52" s="206"/>
    </row>
    <row r="53" spans="1:6">
      <c r="A53" s="172" t="s">
        <v>212</v>
      </c>
      <c r="B53" s="89"/>
      <c r="E53" s="265" t="s">
        <v>276</v>
      </c>
      <c r="F53" s="206"/>
    </row>
    <row r="54" spans="1:6">
      <c r="A54" s="172" t="s">
        <v>172</v>
      </c>
      <c r="B54" s="89"/>
      <c r="E54" s="265" t="s">
        <v>204</v>
      </c>
      <c r="F54" s="206"/>
    </row>
    <row r="55" spans="1:6">
      <c r="E55" s="268" t="s">
        <v>256</v>
      </c>
      <c r="F55" s="206"/>
    </row>
    <row r="56" spans="1:6">
      <c r="E56" s="268" t="s">
        <v>205</v>
      </c>
      <c r="F56" s="206"/>
    </row>
    <row r="57" spans="1:6" ht="21" customHeight="1">
      <c r="E57" s="265" t="s">
        <v>206</v>
      </c>
      <c r="F57" s="206"/>
    </row>
    <row r="58" spans="1:6" ht="21" customHeight="1">
      <c r="E58" s="265" t="s">
        <v>207</v>
      </c>
      <c r="F58" s="206"/>
    </row>
    <row r="59" spans="1:6" ht="21" customHeight="1">
      <c r="E59" s="265" t="s">
        <v>277</v>
      </c>
      <c r="F59" s="206"/>
    </row>
    <row r="60" spans="1:6" ht="21" customHeight="1">
      <c r="E60" s="265" t="s">
        <v>208</v>
      </c>
      <c r="F60" s="206"/>
    </row>
    <row r="61" spans="1:6" ht="21" customHeight="1">
      <c r="E61" s="265" t="s">
        <v>278</v>
      </c>
      <c r="F61" s="206"/>
    </row>
    <row r="62" spans="1:6" ht="21" customHeight="1">
      <c r="A62" s="9"/>
      <c r="B62" s="89"/>
      <c r="E62" s="265" t="s">
        <v>209</v>
      </c>
      <c r="F62" s="206"/>
    </row>
    <row r="63" spans="1:6" ht="21" customHeight="1">
      <c r="A63" s="9"/>
      <c r="B63" s="89"/>
      <c r="E63" s="265" t="s">
        <v>210</v>
      </c>
      <c r="F63" s="206"/>
    </row>
    <row r="64" spans="1:6" ht="21" customHeight="1">
      <c r="A64" s="9"/>
      <c r="B64" s="89"/>
      <c r="E64" s="269" t="s">
        <v>279</v>
      </c>
      <c r="F64" s="206"/>
    </row>
    <row r="65" spans="1:6" ht="21" customHeight="1">
      <c r="A65" s="9"/>
      <c r="B65" s="89"/>
      <c r="E65" s="265" t="s">
        <v>280</v>
      </c>
      <c r="F65" s="206"/>
    </row>
    <row r="66" spans="1:6" ht="21" customHeight="1">
      <c r="A66" s="9"/>
      <c r="B66" s="89"/>
      <c r="E66" s="265" t="s">
        <v>281</v>
      </c>
      <c r="F66" s="206"/>
    </row>
    <row r="67" spans="1:6" ht="21" customHeight="1">
      <c r="A67" s="9"/>
      <c r="B67" s="89"/>
      <c r="E67" s="265" t="s">
        <v>282</v>
      </c>
      <c r="F67" s="206"/>
    </row>
    <row r="68" spans="1:6" ht="21" customHeight="1">
      <c r="A68" s="9"/>
      <c r="B68" s="89"/>
      <c r="E68" s="265" t="s">
        <v>283</v>
      </c>
      <c r="F68" s="206"/>
    </row>
    <row r="69" spans="1:6" ht="21" customHeight="1">
      <c r="A69" s="9"/>
      <c r="B69" s="89"/>
      <c r="F69" s="206"/>
    </row>
    <row r="70" spans="1:6">
      <c r="A70" s="9"/>
      <c r="B70" s="89"/>
      <c r="F70" s="206"/>
    </row>
    <row r="71" spans="1:6">
      <c r="A71" s="9"/>
      <c r="B71" s="89"/>
      <c r="F71" s="206"/>
    </row>
    <row r="72" spans="1:6">
      <c r="A72" s="9"/>
      <c r="B72" s="89"/>
      <c r="F72" s="206"/>
    </row>
    <row r="73" spans="1:6">
      <c r="A73" s="9"/>
      <c r="B73" s="89"/>
      <c r="F73" s="206"/>
    </row>
    <row r="74" spans="1:6">
      <c r="A74" s="9"/>
      <c r="B74" s="89"/>
      <c r="F74" s="206"/>
    </row>
    <row r="75" spans="1:6">
      <c r="F75" s="206"/>
    </row>
    <row r="76" spans="1:6">
      <c r="F76" s="206"/>
    </row>
    <row r="77" spans="1:6">
      <c r="F77" s="206"/>
    </row>
    <row r="78" spans="1:6">
      <c r="F78" s="206"/>
    </row>
    <row r="79" spans="1:6">
      <c r="F79" s="206"/>
    </row>
    <row r="80" spans="1:6">
      <c r="F80" s="206"/>
    </row>
    <row r="81" spans="6:6">
      <c r="F81" s="206"/>
    </row>
    <row r="82" spans="6:6">
      <c r="F82" s="206"/>
    </row>
    <row r="83" spans="6:6">
      <c r="F83" s="206"/>
    </row>
    <row r="84" spans="6:6">
      <c r="F84" s="206"/>
    </row>
    <row r="85" spans="6:6">
      <c r="F85" s="206"/>
    </row>
    <row r="86" spans="6:6">
      <c r="F86" s="206"/>
    </row>
    <row r="87" spans="6:6">
      <c r="F87" s="206"/>
    </row>
    <row r="88" spans="6:6">
      <c r="F88" s="206"/>
    </row>
    <row r="89" spans="6:6">
      <c r="F89" s="206"/>
    </row>
    <row r="90" spans="6:6">
      <c r="F90" s="206"/>
    </row>
    <row r="91" spans="6:6">
      <c r="F91" s="206"/>
    </row>
    <row r="92" spans="6:6">
      <c r="F92" s="206"/>
    </row>
    <row r="93" spans="6:6">
      <c r="F93" s="206"/>
    </row>
    <row r="94" spans="6:6">
      <c r="F94" s="206"/>
    </row>
    <row r="95" spans="6:6">
      <c r="F95" s="206"/>
    </row>
    <row r="96" spans="6:6">
      <c r="F96" s="206"/>
    </row>
    <row r="97" spans="6:6">
      <c r="F97" s="206"/>
    </row>
    <row r="98" spans="6:6">
      <c r="F98" s="206"/>
    </row>
    <row r="99" spans="6:6">
      <c r="F99" s="206"/>
    </row>
    <row r="100" spans="6:6">
      <c r="F100" s="206"/>
    </row>
    <row r="101" spans="6:6">
      <c r="F101" s="206"/>
    </row>
    <row r="102" spans="6:6">
      <c r="F102" s="206"/>
    </row>
    <row r="103" spans="6:6">
      <c r="F103" s="206"/>
    </row>
    <row r="104" spans="6:6">
      <c r="F104" s="206"/>
    </row>
    <row r="105" spans="6:6">
      <c r="F105" s="206"/>
    </row>
    <row r="106" spans="6:6">
      <c r="F106" s="206"/>
    </row>
    <row r="107" spans="6:6">
      <c r="F107" s="206"/>
    </row>
    <row r="108" spans="6:6">
      <c r="F108" s="206"/>
    </row>
    <row r="109" spans="6:6">
      <c r="F109" s="206"/>
    </row>
    <row r="110" spans="6:6">
      <c r="F110" s="206"/>
    </row>
    <row r="111" spans="6:6">
      <c r="F111" s="206"/>
    </row>
    <row r="112" spans="6:6">
      <c r="F112" s="206"/>
    </row>
    <row r="113" spans="6:6">
      <c r="F113" s="206"/>
    </row>
    <row r="114" spans="6:6">
      <c r="F114" s="206"/>
    </row>
    <row r="115" spans="6:6">
      <c r="F115" s="206"/>
    </row>
    <row r="116" spans="6:6">
      <c r="F116" s="206"/>
    </row>
    <row r="117" spans="6:6">
      <c r="F117" s="206"/>
    </row>
    <row r="118" spans="6:6">
      <c r="F118" s="206"/>
    </row>
    <row r="119" spans="6:6">
      <c r="F119" s="206"/>
    </row>
    <row r="120" spans="6:6">
      <c r="F120" s="206"/>
    </row>
    <row r="121" spans="6:6">
      <c r="F121" s="206"/>
    </row>
    <row r="122" spans="6:6">
      <c r="F122" s="206"/>
    </row>
    <row r="123" spans="6:6">
      <c r="F123" s="206"/>
    </row>
    <row r="124" spans="6:6">
      <c r="F124" s="206"/>
    </row>
    <row r="125" spans="6:6">
      <c r="F125" s="206"/>
    </row>
    <row r="126" spans="6:6">
      <c r="F126" s="206"/>
    </row>
    <row r="127" spans="6:6">
      <c r="F127" s="206"/>
    </row>
    <row r="128" spans="6:6">
      <c r="F128" s="206"/>
    </row>
    <row r="129" spans="6:6">
      <c r="F129" s="206"/>
    </row>
    <row r="130" spans="6:6">
      <c r="F130" s="206"/>
    </row>
    <row r="131" spans="6:6">
      <c r="F131" s="206"/>
    </row>
    <row r="132" spans="6:6">
      <c r="F132" s="206"/>
    </row>
    <row r="133" spans="6:6">
      <c r="F133" s="206"/>
    </row>
    <row r="134" spans="6:6">
      <c r="F134" s="206"/>
    </row>
    <row r="135" spans="6:6">
      <c r="F135" s="206"/>
    </row>
    <row r="136" spans="6:6">
      <c r="F136" s="206"/>
    </row>
    <row r="137" spans="6:6">
      <c r="F137" s="206"/>
    </row>
    <row r="138" spans="6:6">
      <c r="F138" s="206"/>
    </row>
    <row r="139" spans="6:6">
      <c r="F139" s="206"/>
    </row>
    <row r="140" spans="6:6">
      <c r="F140" s="206"/>
    </row>
    <row r="141" spans="6:6">
      <c r="F141" s="206"/>
    </row>
    <row r="142" spans="6:6">
      <c r="F142" s="206"/>
    </row>
    <row r="143" spans="6:6">
      <c r="F143" s="206"/>
    </row>
    <row r="144" spans="6:6">
      <c r="F144" s="206"/>
    </row>
    <row r="145" spans="6:6">
      <c r="F145" s="206"/>
    </row>
    <row r="146" spans="6:6">
      <c r="F146" s="206"/>
    </row>
    <row r="147" spans="6:6">
      <c r="F147" s="206"/>
    </row>
    <row r="148" spans="6:6">
      <c r="F148" s="206"/>
    </row>
    <row r="149" spans="6:6">
      <c r="F149" s="206"/>
    </row>
    <row r="150" spans="6:6">
      <c r="F150" s="206"/>
    </row>
    <row r="151" spans="6:6">
      <c r="F151" s="206"/>
    </row>
  </sheetData>
  <sheetProtection algorithmName="SHA-512" hashValue="qhFggDodcmn4p6hW19qYJBK1kF40CJiLqmpGasF1ENGtD8ckEsojhngDJVfVmTpi7iaO3OwMYKhTEZ30liFGNg==" saltValue="F1u2WsGfKtkG/XFzCUcMrQ==" spinCount="100000" sheet="1" objects="1" scenarios="1"/>
  <phoneticPr fontId="0" type="noConversion"/>
  <dataValidations count="1">
    <dataValidation type="list" allowBlank="1" showInputMessage="1" showErrorMessage="1" promptTitle="Mix ID" prompt="Enter mix type (example: C-4WR-C20).  Enter mix as QMC for contractor mix design in order for formulas to calculate incentive on Gradation Report." sqref="B8" xr:uid="{00000000-0002-0000-0000-000000000000}">
      <formula1>$E$1:$E$68</formula1>
    </dataValidation>
  </dataValidations>
  <pageMargins left="0.5" right="0.57299999999999995" top="0.6" bottom="0.46" header="0.5" footer="0.5"/>
  <pageSetup scale="6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selection activeCell="C32" sqref="C32"/>
    </sheetView>
  </sheetViews>
  <sheetFormatPr defaultRowHeight="15"/>
  <cols>
    <col min="1" max="1" width="9.44140625" customWidth="1"/>
    <col min="2" max="2" width="13.77734375" customWidth="1"/>
    <col min="3" max="3" width="11.44140625" customWidth="1"/>
    <col min="4" max="4" width="7.77734375" customWidth="1"/>
    <col min="5" max="6" width="8.77734375" customWidth="1"/>
    <col min="7" max="7" width="9.88671875" customWidth="1"/>
    <col min="8" max="24" width="8.77734375" customWidth="1"/>
  </cols>
  <sheetData>
    <row r="1" spans="1:7" ht="16.5" thickBot="1">
      <c r="A1" s="120" t="s">
        <v>285</v>
      </c>
      <c r="E1" s="253" t="s">
        <v>255</v>
      </c>
      <c r="F1" s="157"/>
      <c r="G1" s="158"/>
    </row>
    <row r="2" spans="1:7" ht="15.75" thickTop="1">
      <c r="B2" s="276" t="s">
        <v>125</v>
      </c>
      <c r="C2" s="277"/>
      <c r="D2" s="278"/>
      <c r="F2" s="272" t="s">
        <v>284</v>
      </c>
      <c r="G2" s="273"/>
    </row>
    <row r="3" spans="1:7" ht="31.5" customHeight="1" thickBot="1">
      <c r="B3" s="218" t="s">
        <v>227</v>
      </c>
      <c r="C3" s="218" t="s">
        <v>228</v>
      </c>
      <c r="D3" s="201" t="s">
        <v>113</v>
      </c>
      <c r="F3" s="274"/>
      <c r="G3" s="275"/>
    </row>
    <row r="4" spans="1:7" ht="15.75" thickTop="1">
      <c r="A4" s="235" t="s">
        <v>13</v>
      </c>
      <c r="B4" s="219" t="str">
        <f>IF('Proj Info'!B22="","",'Proj Info'!B22)</f>
        <v/>
      </c>
      <c r="C4" s="219" t="str">
        <f>IF('Proj Info'!B23="","",'Proj Info'!B23)</f>
        <v/>
      </c>
      <c r="D4" s="251"/>
      <c r="E4" s="210">
        <f>IF(ISERROR(D4),"",D4)</f>
        <v>0</v>
      </c>
      <c r="G4" s="121" t="str">
        <f>IF('Proj Info'!B8="","",IF('Proj Info'!B8="QMC","ENTER"," "))</f>
        <v/>
      </c>
    </row>
    <row r="5" spans="1:7">
      <c r="A5" s="235" t="s">
        <v>14</v>
      </c>
      <c r="B5" s="219" t="str">
        <f>IF('Proj Info'!B25="","",'Proj Info'!B25)</f>
        <v/>
      </c>
      <c r="C5" s="219" t="str">
        <f>IF('Proj Info'!B26="","",'Proj Info'!B26)</f>
        <v/>
      </c>
      <c r="D5" s="251"/>
      <c r="E5" s="210">
        <f>IF(ISERROR(D5),"",D5)</f>
        <v>0</v>
      </c>
      <c r="F5" s="283"/>
      <c r="G5" s="284"/>
    </row>
    <row r="6" spans="1:7" ht="15.75">
      <c r="A6" s="235" t="s">
        <v>15</v>
      </c>
      <c r="B6" s="219" t="str">
        <f>IF('Proj Info'!B28="","",'Proj Info'!B28)</f>
        <v/>
      </c>
      <c r="C6" s="219" t="str">
        <f>IF('Proj Info'!B29="","",'Proj Info'!B29)</f>
        <v/>
      </c>
      <c r="D6" s="251"/>
      <c r="E6" s="210">
        <f>IF(ISERROR(D6),"",D6)</f>
        <v>0</v>
      </c>
      <c r="F6" s="285" t="s">
        <v>114</v>
      </c>
      <c r="G6" s="286"/>
    </row>
    <row r="7" spans="1:7">
      <c r="D7" s="250">
        <f>SUM(D4:D6)</f>
        <v>0</v>
      </c>
      <c r="E7" s="211"/>
      <c r="F7" s="282" t="s">
        <v>213</v>
      </c>
      <c r="G7" s="278"/>
    </row>
    <row r="8" spans="1:7">
      <c r="B8" s="227" t="s">
        <v>231</v>
      </c>
      <c r="E8" s="211"/>
      <c r="F8" s="122" t="s">
        <v>58</v>
      </c>
      <c r="G8" s="123">
        <v>100</v>
      </c>
    </row>
    <row r="9" spans="1:7">
      <c r="B9" s="279" t="s">
        <v>89</v>
      </c>
      <c r="C9" s="280"/>
      <c r="D9" s="281"/>
      <c r="E9" s="211"/>
      <c r="F9" s="122" t="s">
        <v>59</v>
      </c>
      <c r="G9" s="123"/>
    </row>
    <row r="10" spans="1:7" ht="15.75">
      <c r="B10" s="218" t="s">
        <v>227</v>
      </c>
      <c r="C10" s="218" t="s">
        <v>228</v>
      </c>
      <c r="D10" s="201" t="s">
        <v>113</v>
      </c>
      <c r="E10" s="211"/>
      <c r="F10" s="122" t="s">
        <v>60</v>
      </c>
      <c r="G10" s="123"/>
    </row>
    <row r="11" spans="1:7">
      <c r="A11" s="235" t="s">
        <v>13</v>
      </c>
      <c r="B11" s="220"/>
      <c r="C11" s="220"/>
      <c r="D11" s="251"/>
      <c r="E11" s="210">
        <f>IF(ISERROR(D11),"",D11)</f>
        <v>0</v>
      </c>
      <c r="F11" s="122" t="s">
        <v>61</v>
      </c>
      <c r="G11" s="123"/>
    </row>
    <row r="12" spans="1:7">
      <c r="A12" s="235" t="s">
        <v>14</v>
      </c>
      <c r="B12" s="220"/>
      <c r="C12" s="220"/>
      <c r="D12" s="251"/>
      <c r="E12" s="210">
        <f>IF(ISERROR(D12),"",D12)</f>
        <v>0</v>
      </c>
      <c r="F12" s="122" t="s">
        <v>62</v>
      </c>
      <c r="G12" s="123"/>
    </row>
    <row r="13" spans="1:7">
      <c r="A13" s="235" t="s">
        <v>15</v>
      </c>
      <c r="B13" s="220"/>
      <c r="C13" s="220"/>
      <c r="D13" s="251"/>
      <c r="E13" s="210">
        <f>IF(ISERROR(D13),"",D13)</f>
        <v>0</v>
      </c>
      <c r="F13" s="122" t="s">
        <v>63</v>
      </c>
      <c r="G13" s="124"/>
    </row>
    <row r="14" spans="1:7">
      <c r="D14" s="250">
        <f>SUM(D11:D13)</f>
        <v>0</v>
      </c>
      <c r="E14" s="211"/>
      <c r="F14" s="122" t="s">
        <v>64</v>
      </c>
      <c r="G14" s="124"/>
    </row>
    <row r="15" spans="1:7">
      <c r="E15" s="211"/>
      <c r="F15" s="122" t="s">
        <v>65</v>
      </c>
      <c r="G15" s="124"/>
    </row>
    <row r="16" spans="1:7">
      <c r="B16" s="276" t="s">
        <v>90</v>
      </c>
      <c r="C16" s="277"/>
      <c r="D16" s="278"/>
      <c r="E16" s="211"/>
      <c r="F16" s="122" t="s">
        <v>66</v>
      </c>
      <c r="G16" s="124"/>
    </row>
    <row r="17" spans="1:8" ht="15.75">
      <c r="B17" s="218" t="s">
        <v>227</v>
      </c>
      <c r="C17" s="218" t="s">
        <v>228</v>
      </c>
      <c r="D17" s="201" t="s">
        <v>113</v>
      </c>
      <c r="E17" s="211"/>
      <c r="F17" s="122" t="s">
        <v>67</v>
      </c>
      <c r="G17" s="124"/>
    </row>
    <row r="18" spans="1:8">
      <c r="A18" s="235" t="s">
        <v>13</v>
      </c>
      <c r="B18" s="220"/>
      <c r="C18" s="220"/>
      <c r="D18" s="251"/>
      <c r="E18" s="210">
        <f>IF(ISERROR(D18),"",D18)</f>
        <v>0</v>
      </c>
      <c r="F18" s="122" t="s">
        <v>68</v>
      </c>
      <c r="G18" s="124"/>
    </row>
    <row r="19" spans="1:8">
      <c r="A19" s="235" t="s">
        <v>14</v>
      </c>
      <c r="B19" s="220"/>
      <c r="C19" s="220"/>
      <c r="D19" s="251"/>
      <c r="E19" s="210">
        <f>IF(ISERROR(D19),"",D19)</f>
        <v>0</v>
      </c>
      <c r="F19" s="122" t="s">
        <v>17</v>
      </c>
      <c r="G19" s="124">
        <v>1.5</v>
      </c>
      <c r="H19" s="212" t="s">
        <v>229</v>
      </c>
    </row>
    <row r="20" spans="1:8">
      <c r="A20" s="235" t="s">
        <v>15</v>
      </c>
      <c r="B20" s="220"/>
      <c r="C20" s="220"/>
      <c r="D20" s="251"/>
      <c r="E20" s="210">
        <f>IF(ISERROR(D20),"",D20)</f>
        <v>0</v>
      </c>
    </row>
    <row r="21" spans="1:8">
      <c r="D21" s="250">
        <f>SUM(D18:D20)</f>
        <v>0</v>
      </c>
      <c r="E21" s="211"/>
    </row>
    <row r="22" spans="1:8">
      <c r="E22" s="211"/>
    </row>
    <row r="23" spans="1:8">
      <c r="B23" s="276" t="s">
        <v>126</v>
      </c>
      <c r="C23" s="277"/>
      <c r="D23" s="278"/>
      <c r="E23" s="211"/>
    </row>
    <row r="24" spans="1:8" ht="15.75">
      <c r="B24" s="218" t="s">
        <v>227</v>
      </c>
      <c r="C24" s="218" t="s">
        <v>228</v>
      </c>
      <c r="D24" s="201" t="s">
        <v>113</v>
      </c>
      <c r="E24" s="211"/>
    </row>
    <row r="25" spans="1:8">
      <c r="A25" s="235" t="s">
        <v>13</v>
      </c>
      <c r="B25" s="220"/>
      <c r="C25" s="220"/>
      <c r="D25" s="251"/>
      <c r="E25" s="210">
        <f>IF(ISERROR(D25),"",D25)</f>
        <v>0</v>
      </c>
    </row>
    <row r="26" spans="1:8">
      <c r="A26" s="235" t="s">
        <v>14</v>
      </c>
      <c r="B26" s="220"/>
      <c r="C26" s="220"/>
      <c r="D26" s="251"/>
      <c r="E26" s="210">
        <f>IF(ISERROR(D26),"",D26)</f>
        <v>0</v>
      </c>
    </row>
    <row r="27" spans="1:8">
      <c r="A27" s="235" t="s">
        <v>15</v>
      </c>
      <c r="B27" s="220"/>
      <c r="C27" s="220"/>
      <c r="D27" s="251"/>
      <c r="E27" s="210">
        <f>IF(ISERROR(D27),"",D27)</f>
        <v>0</v>
      </c>
    </row>
    <row r="28" spans="1:8">
      <c r="D28" s="250">
        <f>SUM(D25:D27)</f>
        <v>0</v>
      </c>
    </row>
    <row r="30" spans="1:8">
      <c r="B30" s="276" t="s">
        <v>127</v>
      </c>
      <c r="C30" s="277"/>
      <c r="D30" s="278"/>
    </row>
    <row r="31" spans="1:8" ht="15.75">
      <c r="B31" s="218" t="s">
        <v>227</v>
      </c>
      <c r="C31" s="218" t="s">
        <v>228</v>
      </c>
      <c r="D31" s="201" t="s">
        <v>113</v>
      </c>
    </row>
    <row r="32" spans="1:8">
      <c r="A32" s="235" t="s">
        <v>13</v>
      </c>
      <c r="B32" s="220"/>
      <c r="C32" s="220"/>
      <c r="D32" s="251"/>
      <c r="E32" s="210">
        <f>IF(ISERROR(D32),"",D32)</f>
        <v>0</v>
      </c>
    </row>
    <row r="33" spans="1:5">
      <c r="A33" s="235" t="s">
        <v>14</v>
      </c>
      <c r="B33" s="220"/>
      <c r="C33" s="220"/>
      <c r="D33" s="251"/>
      <c r="E33" s="210">
        <f>IF(ISERROR(D33),"",D33)</f>
        <v>0</v>
      </c>
    </row>
    <row r="34" spans="1:5">
      <c r="A34" s="235" t="s">
        <v>15</v>
      </c>
      <c r="B34" s="220"/>
      <c r="C34" s="220"/>
      <c r="D34" s="251"/>
      <c r="E34" s="210">
        <f>IF(ISERROR(D34),"",D34)</f>
        <v>0</v>
      </c>
    </row>
    <row r="35" spans="1:5">
      <c r="D35" s="250">
        <f>SUM(D32:D34)</f>
        <v>0</v>
      </c>
    </row>
  </sheetData>
  <sheetProtection password="D8FF" sheet="1"/>
  <mergeCells count="9">
    <mergeCell ref="F2:G3"/>
    <mergeCell ref="B2:D2"/>
    <mergeCell ref="B9:D9"/>
    <mergeCell ref="B16:D16"/>
    <mergeCell ref="B30:D30"/>
    <mergeCell ref="F7:G7"/>
    <mergeCell ref="F5:G5"/>
    <mergeCell ref="F6:G6"/>
    <mergeCell ref="B23:D23"/>
  </mergeCells>
  <phoneticPr fontId="48" type="noConversion"/>
  <pageMargins left="0.75" right="0.75" top="1" bottom="1" header="0.5" footer="0.5"/>
  <pageSetup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2"/>
  <sheetViews>
    <sheetView defaultGridColor="0" view="pageBreakPreview" topLeftCell="A19" colorId="22" zoomScale="75" zoomScaleNormal="75" workbookViewId="0">
      <pane xSplit="1" topLeftCell="B1" activePane="topRight" state="frozen"/>
      <selection pane="topRight" activeCell="S33" sqref="S33"/>
    </sheetView>
  </sheetViews>
  <sheetFormatPr defaultColWidth="9.77734375" defaultRowHeight="15"/>
  <cols>
    <col min="1" max="1" width="20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32" ht="21" customHeight="1">
      <c r="A1" s="44" t="s">
        <v>251</v>
      </c>
      <c r="B1" s="23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1" customHeight="1">
      <c r="A2" s="44" t="s">
        <v>145</v>
      </c>
      <c r="B2" t="str">
        <f>IF('Proj Info'!B4="","",'Proj Info'!B4)</f>
        <v/>
      </c>
      <c r="S2" s="2"/>
      <c r="T2" s="45"/>
      <c r="U2" s="45"/>
      <c r="V2" s="45"/>
      <c r="W2" s="45"/>
      <c r="X2" s="46"/>
      <c r="Y2" s="46"/>
      <c r="Z2" s="45"/>
      <c r="AA2" s="45"/>
      <c r="AB2" s="45"/>
      <c r="AC2" s="45"/>
      <c r="AD2" s="2"/>
      <c r="AE2" s="2"/>
      <c r="AF2" s="2"/>
    </row>
    <row r="3" spans="1:32" ht="21" customHeight="1">
      <c r="A3" s="25" t="s">
        <v>146</v>
      </c>
      <c r="B3" s="26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S3" s="2"/>
      <c r="T3" s="2"/>
      <c r="U3" s="45"/>
      <c r="V3" s="45"/>
      <c r="W3" s="45"/>
      <c r="X3" s="46"/>
      <c r="Y3" s="46"/>
      <c r="Z3" s="45"/>
      <c r="AA3" s="45"/>
      <c r="AB3" s="45"/>
      <c r="AC3" s="45"/>
      <c r="AD3" s="2"/>
      <c r="AE3" s="2"/>
      <c r="AF3" s="2"/>
    </row>
    <row r="4" spans="1:32" ht="21" customHeight="1" thickBot="1">
      <c r="A4" s="202" t="s">
        <v>144</v>
      </c>
      <c r="B4" s="185"/>
      <c r="C4" s="287" t="s">
        <v>138</v>
      </c>
      <c r="D4" s="291"/>
      <c r="E4" s="177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S4" s="2"/>
      <c r="T4" s="47" t="s">
        <v>72</v>
      </c>
      <c r="U4" s="45"/>
      <c r="V4" s="45"/>
      <c r="W4" s="45"/>
      <c r="X4" s="2"/>
      <c r="Y4" s="48" t="s">
        <v>73</v>
      </c>
      <c r="Z4" s="45"/>
      <c r="AA4" s="45"/>
      <c r="AB4" s="45"/>
      <c r="AC4" s="45"/>
      <c r="AD4" s="2"/>
      <c r="AE4" s="2"/>
      <c r="AF4" s="2"/>
    </row>
    <row r="5" spans="1:32" ht="21" customHeight="1" thickTop="1">
      <c r="A5" s="33" t="s">
        <v>232</v>
      </c>
      <c r="B5" s="186"/>
      <c r="C5" s="29"/>
      <c r="D5" s="289" t="str">
        <f>IF(E4&lt;5,"",IF(E4&lt;99.5,"Check Weights.",IF(E4&gt;100.5,"Check Weights","")))</f>
        <v/>
      </c>
      <c r="E5" s="290"/>
      <c r="F5" s="35"/>
      <c r="G5" s="181">
        <f t="shared" ref="G5:G12" si="0">IF($M$14=100,$M5,IF($N$14=100,$N5,IF($O$14=100,$O5,IF($P$14=100,$P5,IF($Q$14=100,$Q5,IF($R$14=100,$R5,$R5))))))</f>
        <v>0.1</v>
      </c>
      <c r="H5" s="181">
        <f>IF(D12=0,0,100)</f>
        <v>0</v>
      </c>
      <c r="I5" s="182">
        <f t="shared" ref="I5:I11" si="1">IF(H5&gt;9.9,ROUND(H5,0),ROUND(H5,1))</f>
        <v>0</v>
      </c>
      <c r="J5" s="191" t="str">
        <f>IF('Proj Info'!B33=" "," ",'Proj Info'!B33)</f>
        <v/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S5" s="2"/>
      <c r="T5" s="49" t="s">
        <v>74</v>
      </c>
      <c r="U5" s="50"/>
      <c r="V5" s="50"/>
      <c r="W5" s="51"/>
      <c r="X5" s="257"/>
      <c r="Y5" s="257">
        <f>'Mix Info'!D4</f>
        <v>0</v>
      </c>
      <c r="Z5" s="52" t="e">
        <f>Y5/(SUM($Y$5:$Y$7))</f>
        <v>#DIV/0!</v>
      </c>
      <c r="AA5" s="45"/>
      <c r="AB5" s="45"/>
      <c r="AC5" s="45"/>
      <c r="AD5" s="2"/>
      <c r="AE5" s="2"/>
      <c r="AF5" s="2"/>
    </row>
    <row r="6" spans="1:32" ht="21" customHeight="1">
      <c r="A6" s="33" t="s">
        <v>233</v>
      </c>
      <c r="B6" s="186"/>
      <c r="C6" s="29"/>
      <c r="D6" s="31"/>
      <c r="E6" s="29"/>
      <c r="F6" s="29"/>
      <c r="G6" s="181">
        <f t="shared" si="0"/>
        <v>0.1</v>
      </c>
      <c r="H6" s="181">
        <f t="shared" ref="H6:H11" si="8">IF(H5=0,0,(H5-G6))</f>
        <v>0</v>
      </c>
      <c r="I6" s="182">
        <f t="shared" si="1"/>
        <v>0</v>
      </c>
      <c r="J6" s="191" t="str">
        <f>IF('Proj Info'!B34=" "," ",'Proj Info'!B34)</f>
        <v/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S6" s="2"/>
      <c r="T6" s="53" t="s">
        <v>75</v>
      </c>
      <c r="U6" s="54"/>
      <c r="V6" s="54"/>
      <c r="W6" s="55"/>
      <c r="X6" s="258"/>
      <c r="Y6" s="259">
        <f>'Mix Info'!D5</f>
        <v>0</v>
      </c>
      <c r="Z6" s="56" t="e">
        <f>Y6/(SUM($Y$5:$Y$7))</f>
        <v>#DIV/0!</v>
      </c>
      <c r="AA6" s="45"/>
      <c r="AB6" s="45"/>
      <c r="AC6" s="45"/>
      <c r="AD6" s="2"/>
      <c r="AE6" s="2"/>
      <c r="AF6" s="2"/>
    </row>
    <row r="7" spans="1:32" ht="21" customHeight="1" thickBot="1">
      <c r="A7" s="33" t="s">
        <v>234</v>
      </c>
      <c r="B7" s="186"/>
      <c r="C7" s="29"/>
      <c r="D7" s="29"/>
      <c r="E7" s="29"/>
      <c r="F7" s="29"/>
      <c r="G7" s="181">
        <f t="shared" si="0"/>
        <v>0.1</v>
      </c>
      <c r="H7" s="181">
        <f t="shared" si="8"/>
        <v>0</v>
      </c>
      <c r="I7" s="182">
        <f t="shared" si="1"/>
        <v>0</v>
      </c>
      <c r="J7" s="191" t="str">
        <f>IF('Proj Info'!B35=" "," ",'Proj Info'!B35)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S7" s="2"/>
      <c r="T7" s="57" t="s">
        <v>76</v>
      </c>
      <c r="U7" s="58"/>
      <c r="V7" s="58"/>
      <c r="W7" s="59"/>
      <c r="X7" s="260"/>
      <c r="Y7" s="261">
        <f>'Mix Info'!D6</f>
        <v>0</v>
      </c>
      <c r="Z7" s="60" t="e">
        <f>Y7/(SUM($Y$5:Y$7))</f>
        <v>#DIV/0!</v>
      </c>
      <c r="AA7" s="45"/>
      <c r="AB7" s="45"/>
      <c r="AC7" s="45"/>
      <c r="AD7" s="2"/>
      <c r="AE7" s="2"/>
      <c r="AF7" s="2"/>
    </row>
    <row r="8" spans="1:32" ht="21" customHeight="1" thickTop="1">
      <c r="A8" s="33" t="s">
        <v>235</v>
      </c>
      <c r="B8" s="186"/>
      <c r="C8" s="29"/>
      <c r="D8" s="29"/>
      <c r="E8" s="29"/>
      <c r="F8" s="29"/>
      <c r="G8" s="181">
        <f t="shared" si="0"/>
        <v>0.1</v>
      </c>
      <c r="H8" s="181">
        <f t="shared" si="8"/>
        <v>0</v>
      </c>
      <c r="I8" s="182">
        <f t="shared" si="1"/>
        <v>0</v>
      </c>
      <c r="J8" s="191" t="str">
        <f>IF('Proj Info'!B36=" "," ",'Proj Info'!B36)</f>
        <v/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  <c r="S8" s="2"/>
      <c r="T8" s="45"/>
      <c r="U8" s="45"/>
      <c r="V8" s="45"/>
      <c r="W8" s="45"/>
      <c r="X8" s="45"/>
      <c r="Y8" s="45"/>
      <c r="Z8" s="45"/>
      <c r="AA8" s="45"/>
      <c r="AB8" s="45"/>
      <c r="AC8" s="45"/>
      <c r="AD8" s="2"/>
      <c r="AE8" s="2"/>
      <c r="AF8" s="2"/>
    </row>
    <row r="9" spans="1:32" ht="21" customHeight="1">
      <c r="A9" s="33" t="s">
        <v>236</v>
      </c>
      <c r="B9" s="186"/>
      <c r="C9" s="29"/>
      <c r="D9" s="29"/>
      <c r="E9" s="29"/>
      <c r="F9" s="29"/>
      <c r="G9" s="181">
        <f t="shared" si="0"/>
        <v>0.1</v>
      </c>
      <c r="H9" s="181">
        <f t="shared" si="8"/>
        <v>0</v>
      </c>
      <c r="I9" s="182">
        <f t="shared" si="1"/>
        <v>0</v>
      </c>
      <c r="J9" s="191" t="str">
        <f>IF('Proj Info'!B37=" "," ",'Proj Info'!B37)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  <c r="S9" s="2"/>
      <c r="T9" s="2"/>
      <c r="U9" s="2"/>
      <c r="V9" s="2"/>
      <c r="W9" s="2"/>
      <c r="X9" s="2"/>
      <c r="Y9" s="2"/>
      <c r="Z9" s="2"/>
      <c r="AA9" s="45"/>
      <c r="AB9" s="45"/>
      <c r="AC9" s="45"/>
      <c r="AD9" s="2"/>
      <c r="AE9" s="2"/>
      <c r="AF9" s="2"/>
    </row>
    <row r="10" spans="1:32" ht="21" customHeight="1">
      <c r="A10" s="33" t="s">
        <v>237</v>
      </c>
      <c r="B10" s="186"/>
      <c r="C10" s="29"/>
      <c r="D10" s="29"/>
      <c r="E10" s="29"/>
      <c r="F10" s="29"/>
      <c r="G10" s="181">
        <f t="shared" si="0"/>
        <v>0.1</v>
      </c>
      <c r="H10" s="181">
        <f t="shared" si="8"/>
        <v>0</v>
      </c>
      <c r="I10" s="182">
        <f t="shared" si="1"/>
        <v>0</v>
      </c>
      <c r="J10" s="191" t="str">
        <f>IF('Proj Info'!B38=" "," ",'Proj Info'!B38)</f>
        <v/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  <c r="S10" s="2"/>
      <c r="T10" s="2"/>
      <c r="U10" s="2"/>
      <c r="V10" s="2"/>
      <c r="W10" s="2"/>
      <c r="X10" s="2"/>
      <c r="Y10" s="2"/>
      <c r="Z10" s="2"/>
      <c r="AA10" s="45"/>
      <c r="AB10" s="45"/>
      <c r="AC10" s="45"/>
      <c r="AD10" s="2"/>
      <c r="AE10" s="2"/>
      <c r="AF10" s="2"/>
    </row>
    <row r="11" spans="1:32" ht="21" customHeight="1" thickBot="1">
      <c r="A11" s="33" t="s">
        <v>238</v>
      </c>
      <c r="B11" s="186"/>
      <c r="C11" s="29"/>
      <c r="D11" s="36" t="s">
        <v>27</v>
      </c>
      <c r="E11" s="29"/>
      <c r="F11" s="29"/>
      <c r="G11" s="181">
        <f t="shared" si="0"/>
        <v>0.1</v>
      </c>
      <c r="H11" s="181">
        <f t="shared" si="8"/>
        <v>0</v>
      </c>
      <c r="I11" s="182">
        <f t="shared" si="1"/>
        <v>0</v>
      </c>
      <c r="J11" s="191" t="str">
        <f>IF('Proj Info'!B39=" "," ",'Proj Info'!B39)</f>
        <v/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  <c r="S11" s="2"/>
      <c r="T11" s="2"/>
      <c r="U11" s="2"/>
      <c r="V11" s="2"/>
      <c r="W11" s="2"/>
      <c r="X11" s="2"/>
      <c r="Y11" s="2"/>
      <c r="Z11" s="2"/>
      <c r="AA11" s="45"/>
      <c r="AB11" s="45"/>
      <c r="AC11" s="45"/>
      <c r="AD11" s="2"/>
      <c r="AE11" s="2"/>
      <c r="AF11" s="2"/>
    </row>
    <row r="12" spans="1:32" ht="21" customHeight="1" thickBot="1">
      <c r="A12" s="33" t="s">
        <v>39</v>
      </c>
      <c r="B12" s="179"/>
      <c r="C12" s="29"/>
      <c r="D12" s="184">
        <f>IF(B12="",0,SUM(B5:B12))</f>
        <v>0</v>
      </c>
      <c r="E12" s="29"/>
      <c r="F12" s="29"/>
      <c r="G12" s="181">
        <f t="shared" si="0"/>
        <v>0.1</v>
      </c>
      <c r="H12" s="37"/>
      <c r="I12" s="37"/>
      <c r="J12" s="194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S12" s="2"/>
      <c r="T12" s="2"/>
      <c r="U12" s="2"/>
      <c r="V12" s="2"/>
      <c r="W12" s="2"/>
      <c r="X12" s="2"/>
      <c r="Y12" s="2"/>
      <c r="Z12" s="2"/>
      <c r="AA12" s="61"/>
      <c r="AB12" s="61"/>
      <c r="AC12" s="61"/>
      <c r="AD12" s="2"/>
      <c r="AE12" s="2"/>
      <c r="AF12" s="2"/>
    </row>
    <row r="13" spans="1:32" ht="21" customHeight="1" thickBot="1">
      <c r="A13" s="229" t="s">
        <v>239</v>
      </c>
      <c r="B13" s="187"/>
      <c r="C13" s="37" t="s">
        <v>37</v>
      </c>
      <c r="D13" s="29"/>
      <c r="E13" s="29"/>
      <c r="F13" s="29"/>
      <c r="G13" s="181">
        <f>SUM(G5:G12)</f>
        <v>0.79999999999999993</v>
      </c>
      <c r="H13" s="183"/>
      <c r="I13" s="183"/>
      <c r="J13" s="194"/>
      <c r="K13" s="14"/>
      <c r="L13" s="14"/>
      <c r="M13" s="16"/>
      <c r="N13" s="17"/>
      <c r="O13" s="19"/>
      <c r="P13" s="19"/>
      <c r="Q13" s="19"/>
      <c r="R13" s="19"/>
      <c r="S13" s="2"/>
      <c r="T13" s="2"/>
      <c r="U13" s="45"/>
      <c r="V13" s="45"/>
      <c r="W13" s="45"/>
      <c r="X13" s="45"/>
      <c r="Y13" s="45"/>
      <c r="Z13" s="45"/>
      <c r="AA13" s="45"/>
      <c r="AB13" s="45"/>
      <c r="AC13" s="45"/>
      <c r="AD13" s="2"/>
      <c r="AE13" s="2"/>
      <c r="AF13" s="2"/>
    </row>
    <row r="14" spans="1:32" ht="21" customHeight="1" thickTop="1">
      <c r="A14" s="230" t="s">
        <v>240</v>
      </c>
      <c r="B14" s="188"/>
      <c r="C14" s="37" t="s">
        <v>38</v>
      </c>
      <c r="D14" s="29"/>
      <c r="E14" s="29"/>
      <c r="F14" s="29"/>
      <c r="G14" s="183"/>
      <c r="H14" s="38" t="s">
        <v>17</v>
      </c>
      <c r="I14" s="180">
        <f>ROUND(IF(B17=0,0,SUM(B17/B13)*100),1)</f>
        <v>0</v>
      </c>
      <c r="J14" s="191" t="str">
        <f>IF('Proj Info'!B40=" "," ",'Proj Info'!B40)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S14" s="2"/>
      <c r="T14" s="62"/>
      <c r="U14" s="63" t="s">
        <v>13</v>
      </c>
      <c r="V14" s="63" t="s">
        <v>14</v>
      </c>
      <c r="W14" s="63" t="s">
        <v>15</v>
      </c>
      <c r="X14" s="63"/>
      <c r="Y14" s="63" t="s">
        <v>77</v>
      </c>
      <c r="Z14" s="63" t="s">
        <v>78</v>
      </c>
      <c r="AA14" s="63" t="s">
        <v>78</v>
      </c>
      <c r="AB14" s="63" t="s">
        <v>78</v>
      </c>
      <c r="AC14" s="64"/>
      <c r="AD14" s="2"/>
      <c r="AE14" s="2"/>
      <c r="AF14" s="2"/>
    </row>
    <row r="15" spans="1:32" ht="21" customHeight="1">
      <c r="A15" s="33" t="s">
        <v>39</v>
      </c>
      <c r="B15" s="179"/>
      <c r="C15" s="37" t="s">
        <v>40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S15" s="2"/>
      <c r="T15" s="65" t="s">
        <v>79</v>
      </c>
      <c r="U15" s="66" t="s">
        <v>16</v>
      </c>
      <c r="V15" s="66" t="s">
        <v>16</v>
      </c>
      <c r="W15" s="66" t="s">
        <v>16</v>
      </c>
      <c r="X15" s="66"/>
      <c r="Y15" s="66" t="s">
        <v>80</v>
      </c>
      <c r="Z15" s="66" t="s">
        <v>81</v>
      </c>
      <c r="AA15" s="66" t="s">
        <v>82</v>
      </c>
      <c r="AB15" s="66" t="s">
        <v>83</v>
      </c>
      <c r="AC15" s="67" t="s">
        <v>84</v>
      </c>
      <c r="AD15" s="2"/>
      <c r="AE15" s="2"/>
      <c r="AF15" s="2"/>
    </row>
    <row r="16" spans="1:32" ht="21" customHeight="1">
      <c r="A16" s="33" t="s">
        <v>41</v>
      </c>
      <c r="B16" s="180">
        <f>IF(B14="",0,SUM(B13-B14))</f>
        <v>0</v>
      </c>
      <c r="C16" s="37" t="s">
        <v>42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S16" s="2"/>
      <c r="T16" s="65" t="s">
        <v>85</v>
      </c>
      <c r="U16" s="66" t="s">
        <v>69</v>
      </c>
      <c r="V16" s="66" t="s">
        <v>69</v>
      </c>
      <c r="W16" s="66" t="s">
        <v>69</v>
      </c>
      <c r="X16" s="66"/>
      <c r="Y16" s="66" t="s">
        <v>86</v>
      </c>
      <c r="Z16" s="66" t="s">
        <v>86</v>
      </c>
      <c r="AA16" s="66" t="s">
        <v>86</v>
      </c>
      <c r="AB16" s="66" t="s">
        <v>86</v>
      </c>
      <c r="AC16" s="68" t="s">
        <v>81</v>
      </c>
      <c r="AD16" s="2"/>
      <c r="AE16" s="2"/>
      <c r="AF16" s="2"/>
    </row>
    <row r="17" spans="1:32" ht="21" customHeight="1" thickBot="1">
      <c r="A17" s="33" t="s">
        <v>43</v>
      </c>
      <c r="B17" s="189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S17" s="2"/>
      <c r="T17" s="69"/>
      <c r="U17" s="70" t="s">
        <v>87</v>
      </c>
      <c r="V17" s="70" t="s">
        <v>87</v>
      </c>
      <c r="W17" s="70" t="s">
        <v>87</v>
      </c>
      <c r="X17" s="70"/>
      <c r="Y17" s="70" t="s">
        <v>87</v>
      </c>
      <c r="Z17" s="70" t="s">
        <v>87</v>
      </c>
      <c r="AA17" s="70" t="s">
        <v>87</v>
      </c>
      <c r="AB17" s="70" t="s">
        <v>87</v>
      </c>
      <c r="AC17" s="71"/>
      <c r="AD17" s="2"/>
      <c r="AE17" s="2"/>
      <c r="AF17" s="2"/>
    </row>
    <row r="18" spans="1:32" ht="21" customHeight="1" thickTop="1">
      <c r="A18" s="33" t="s">
        <v>241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S18" s="2"/>
      <c r="T18" s="72"/>
      <c r="U18" s="73"/>
      <c r="V18" s="73"/>
      <c r="W18" s="73"/>
      <c r="X18" s="74"/>
      <c r="Y18" s="74"/>
      <c r="Z18" s="75" t="s">
        <v>73</v>
      </c>
      <c r="AA18" s="55"/>
      <c r="AB18" s="55"/>
      <c r="AC18" s="76"/>
      <c r="AD18" s="2"/>
      <c r="AE18" s="2"/>
      <c r="AF18" s="2"/>
    </row>
    <row r="19" spans="1:32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S19" s="2"/>
      <c r="T19" s="77" t="s">
        <v>88</v>
      </c>
      <c r="U19" s="78">
        <f>'Grad 1'!I5</f>
        <v>0</v>
      </c>
      <c r="V19" s="78">
        <f>'Grad 1'!I22</f>
        <v>0</v>
      </c>
      <c r="W19" s="78">
        <v>100</v>
      </c>
      <c r="X19" s="79" t="str">
        <f>IF($B$4=0," ",IF($B$20=" ",U19*$Z$5+W19*$Z$7,U19*$Z$5+V19*$Z$6+W19*Z$7))</f>
        <v xml:space="preserve"> </v>
      </c>
      <c r="Y19" s="247" t="str">
        <f>X19</f>
        <v xml:space="preserve"> </v>
      </c>
      <c r="Z19" s="262">
        <f>'Mix Info'!G8</f>
        <v>100</v>
      </c>
      <c r="AA19" s="92">
        <f t="shared" ref="AA19:AA24" si="10">IF(Z19-5&lt;0,0,IF((Z19-5)&gt;10,ROUND(Z19-5,1),ROUND(Z19-5,0)))</f>
        <v>95</v>
      </c>
      <c r="AB19" s="92">
        <f>IF(Z19+5&gt;100,100,IF(Z19+5&gt;10,ROUND(Z19+5,0),ROUND(Z19+5,1)))</f>
        <v>100</v>
      </c>
      <c r="AC19" s="76" t="str">
        <f t="shared" ref="AC19:AC30" si="11">IF(AND(AA19&lt;=X19,X19&lt;=AB19),"Yes","No")</f>
        <v>No</v>
      </c>
      <c r="AD19" s="14">
        <f>IF(AC19="YES",1,0)</f>
        <v>0</v>
      </c>
      <c r="AE19" s="2" t="str">
        <f>CONCATENATE(AA19,"-",AB19)</f>
        <v>95-100</v>
      </c>
      <c r="AF19" s="2"/>
    </row>
    <row r="20" spans="1:32" ht="21" customHeight="1">
      <c r="A20" s="25" t="s">
        <v>242</v>
      </c>
      <c r="B20" s="26"/>
      <c r="C20" s="27"/>
      <c r="D20" s="28"/>
      <c r="E20" s="29"/>
      <c r="F20" s="29"/>
      <c r="G20" s="10" t="s">
        <v>44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S20" s="2"/>
      <c r="T20" s="77" t="s">
        <v>59</v>
      </c>
      <c r="U20" s="78">
        <f>'Grad 1'!I6</f>
        <v>0</v>
      </c>
      <c r="V20" s="78">
        <f>'Grad 1'!I23</f>
        <v>0</v>
      </c>
      <c r="W20" s="78">
        <v>100</v>
      </c>
      <c r="X20" s="79" t="str">
        <f t="shared" ref="X20:X30" si="12">IF($B$4=0," ",IF($B$20=" ",U20*$Z$5+W20*$Z$7,U20*$Z$5+V20*$Z$6+W20*Z$7))</f>
        <v xml:space="preserve"> </v>
      </c>
      <c r="Y20" s="247" t="str">
        <f t="shared" ref="Y20:Y30" si="13">X20</f>
        <v xml:space="preserve"> </v>
      </c>
      <c r="Z20" s="262">
        <f>'Mix Info'!G9</f>
        <v>0</v>
      </c>
      <c r="AA20" s="92">
        <f t="shared" si="10"/>
        <v>0</v>
      </c>
      <c r="AB20" s="92">
        <f>IF(Z20+5&gt;100,100,IF(Z20+5&gt;10,ROUND(Z20+5,0),ROUND(Z20+5,1)))</f>
        <v>5</v>
      </c>
      <c r="AC20" s="76" t="str">
        <f t="shared" si="11"/>
        <v>No</v>
      </c>
      <c r="AD20" s="14">
        <f t="shared" ref="AD20:AD30" si="14">IF(AC20="YES",1,0)</f>
        <v>0</v>
      </c>
      <c r="AE20" s="2" t="str">
        <f t="shared" ref="AE20:AE30" si="15">CONCATENATE(AA20,"-",AB20)</f>
        <v>0-5</v>
      </c>
      <c r="AF20" s="2"/>
    </row>
    <row r="21" spans="1:32" ht="21" customHeight="1" thickBot="1">
      <c r="A21" s="231" t="s">
        <v>239</v>
      </c>
      <c r="B21" s="185"/>
      <c r="C21" s="287" t="s">
        <v>138</v>
      </c>
      <c r="D21" s="291"/>
      <c r="E21" s="177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S21" s="2"/>
      <c r="T21" s="77" t="s">
        <v>60</v>
      </c>
      <c r="U21" s="78">
        <f>'Grad 1'!I7</f>
        <v>0</v>
      </c>
      <c r="V21" s="78">
        <f>'Grad 1'!I24</f>
        <v>0</v>
      </c>
      <c r="W21" s="78">
        <v>100</v>
      </c>
      <c r="X21" s="79" t="str">
        <f t="shared" si="12"/>
        <v xml:space="preserve"> </v>
      </c>
      <c r="Y21" s="247" t="str">
        <f t="shared" si="13"/>
        <v xml:space="preserve"> </v>
      </c>
      <c r="Z21" s="262">
        <f>'Mix Info'!G10</f>
        <v>0</v>
      </c>
      <c r="AA21" s="92">
        <f t="shared" si="10"/>
        <v>0</v>
      </c>
      <c r="AB21" s="92">
        <f>IF(Z21+5&gt;100,100,IF(Z21+5&gt;10,ROUND(Z21+5,1),ROUND(Z21+5,0)))</f>
        <v>5</v>
      </c>
      <c r="AC21" s="76" t="str">
        <f t="shared" si="11"/>
        <v>No</v>
      </c>
      <c r="AD21" s="14">
        <f t="shared" si="14"/>
        <v>0</v>
      </c>
      <c r="AE21" s="2" t="str">
        <f t="shared" si="15"/>
        <v>0-5</v>
      </c>
      <c r="AF21" s="2"/>
    </row>
    <row r="22" spans="1:32" ht="21" customHeight="1">
      <c r="A22" s="33" t="s">
        <v>232</v>
      </c>
      <c r="B22" s="186"/>
      <c r="C22" s="29"/>
      <c r="D22" s="289" t="str">
        <f>IF(E21&lt;5,"",IF(E21&lt;99.5,"Check Weights.",IF(E21&gt;100.5,"Check Weights","")))</f>
        <v/>
      </c>
      <c r="E22" s="290"/>
      <c r="F22" s="35"/>
      <c r="G22" s="181">
        <f>IF($M$22=100,$M22,IF($N$22=100,$N22,IF($O$22=100,$O22,IF($P$22=100,$P22,IF($Q$22=100,$Q22,IF($R$22=100,$R22,$R22))))))</f>
        <v>0.1</v>
      </c>
      <c r="H22" s="181">
        <f>IF(D29=0,0,100)</f>
        <v>0</v>
      </c>
      <c r="I22" s="182">
        <f t="shared" ref="I22:I28" si="16">IF(H22&gt;9.9,ROUND(H22,0),ROUND(H22,1))</f>
        <v>0</v>
      </c>
      <c r="J22" s="191"/>
      <c r="K22" s="17">
        <f>LARGE(M22:M29,1)</f>
        <v>0</v>
      </c>
      <c r="L22" s="17">
        <f>IF(M31&lt;100,(K22+0.1),IF(M31&gt;100,(K22-0.1),K22))</f>
        <v>0.1</v>
      </c>
      <c r="M22" s="18">
        <f>ROUND(IF(B22="",0,SUM(B22/$B$21)*100),1)</f>
        <v>0</v>
      </c>
      <c r="N22" s="15">
        <f>IF(M22=$K$22,$L$22,M22)</f>
        <v>0.1</v>
      </c>
      <c r="O22" s="15">
        <f>IF(N22=K$23,L$23,N22)</f>
        <v>0.1</v>
      </c>
      <c r="P22" s="15">
        <f>IF(O22=K$24,L$24,O22)</f>
        <v>0.1</v>
      </c>
      <c r="Q22" s="15">
        <f>IF(P22=K$25,L$25,P22)</f>
        <v>0.1</v>
      </c>
      <c r="R22" s="15">
        <f>IF(Q22=K$26,L$26,Q22)</f>
        <v>0.1</v>
      </c>
      <c r="S22" s="2"/>
      <c r="T22" s="77" t="s">
        <v>61</v>
      </c>
      <c r="U22" s="78">
        <f>'Grad 1'!I8</f>
        <v>0</v>
      </c>
      <c r="V22" s="78">
        <f>'Grad 1'!I25</f>
        <v>0</v>
      </c>
      <c r="W22" s="78">
        <f>'Grad 1'!I41</f>
        <v>0</v>
      </c>
      <c r="X22" s="79" t="str">
        <f t="shared" si="12"/>
        <v xml:space="preserve"> </v>
      </c>
      <c r="Y22" s="247" t="str">
        <f t="shared" si="13"/>
        <v xml:space="preserve"> </v>
      </c>
      <c r="Z22" s="262">
        <f>'Mix Info'!G11</f>
        <v>0</v>
      </c>
      <c r="AA22" s="92">
        <f t="shared" si="10"/>
        <v>0</v>
      </c>
      <c r="AB22" s="92">
        <f>IF(Z22+5&gt;100,100,IF(Z22+5&gt;10,ROUND(Z22+5,1),ROUND(Z22+5,0)))</f>
        <v>5</v>
      </c>
      <c r="AC22" s="76" t="str">
        <f t="shared" si="11"/>
        <v>No</v>
      </c>
      <c r="AD22" s="14">
        <f t="shared" si="14"/>
        <v>0</v>
      </c>
      <c r="AE22" s="2" t="str">
        <f t="shared" si="15"/>
        <v>0-5</v>
      </c>
      <c r="AF22" s="2"/>
    </row>
    <row r="23" spans="1:32" ht="21" customHeight="1">
      <c r="A23" s="33" t="s">
        <v>233</v>
      </c>
      <c r="B23" s="186"/>
      <c r="C23" s="29"/>
      <c r="D23" s="31"/>
      <c r="E23" s="29"/>
      <c r="F23" s="29"/>
      <c r="G23" s="181">
        <f>IF($M$23=100,$M23,IF($N$23=100,$N23,IF($O$23=100,$O23,IF($P$23=100,$P23,IF($Q$23=100,$Q23,IF($R$23=100,$R23,$R23))))))</f>
        <v>0.1</v>
      </c>
      <c r="H23" s="181">
        <f t="shared" ref="H23:H28" si="17">IF(H22=0,0,(H22-G23))</f>
        <v>0</v>
      </c>
      <c r="I23" s="182">
        <f t="shared" si="16"/>
        <v>0</v>
      </c>
      <c r="J23" s="191"/>
      <c r="K23" s="17">
        <f>LARGE(M22:M29,2)</f>
        <v>0</v>
      </c>
      <c r="L23" s="17">
        <f>IF(N31&gt;100,K23-0.1,IF(N31&lt;100,K23+0.1,K23))</f>
        <v>0.1</v>
      </c>
      <c r="M23" s="18">
        <f t="shared" ref="M23:M29" si="18">ROUND(IF(B23="",0,SUM(B23/$B$21)*100),1)</f>
        <v>0</v>
      </c>
      <c r="N23" s="15">
        <f t="shared" ref="N23:N29" si="19">IF(M23=$K$22,$L$22,M23)</f>
        <v>0.1</v>
      </c>
      <c r="O23" s="15">
        <f t="shared" ref="O23:O29" si="20">IF(N23=K$23,L$23,N23)</f>
        <v>0.1</v>
      </c>
      <c r="P23" s="15">
        <f t="shared" ref="P23:P29" si="21">IF(O23=K$24,L$24,O23)</f>
        <v>0.1</v>
      </c>
      <c r="Q23" s="15">
        <f t="shared" ref="Q23:Q29" si="22">IF(P23=K$25,L$25,P23)</f>
        <v>0.1</v>
      </c>
      <c r="R23" s="15">
        <f t="shared" ref="R23:R29" si="23">IF(Q23=K$26,L$26,Q23)</f>
        <v>0.1</v>
      </c>
      <c r="S23" s="2"/>
      <c r="T23" s="77" t="s">
        <v>62</v>
      </c>
      <c r="U23" s="78">
        <f>'Grad 1'!I9</f>
        <v>0</v>
      </c>
      <c r="V23" s="78">
        <f>'Grad 1'!I26</f>
        <v>0</v>
      </c>
      <c r="W23" s="78">
        <f>'Grad 1'!I42</f>
        <v>0</v>
      </c>
      <c r="X23" s="79" t="str">
        <f t="shared" si="12"/>
        <v xml:space="preserve"> </v>
      </c>
      <c r="Y23" s="247" t="str">
        <f t="shared" si="13"/>
        <v xml:space="preserve"> </v>
      </c>
      <c r="Z23" s="262">
        <f>'Mix Info'!G12</f>
        <v>0</v>
      </c>
      <c r="AA23" s="92">
        <f t="shared" si="10"/>
        <v>0</v>
      </c>
      <c r="AB23" s="92">
        <f>IF(Z23+5&gt;100,100,IF(Z23+5&gt;10,ROUND(Z23+5,1),ROUND(Z23+5,0)))</f>
        <v>5</v>
      </c>
      <c r="AC23" s="76" t="str">
        <f t="shared" si="11"/>
        <v>No</v>
      </c>
      <c r="AD23" s="14">
        <f t="shared" si="14"/>
        <v>0</v>
      </c>
      <c r="AE23" s="2" t="str">
        <f t="shared" si="15"/>
        <v>0-5</v>
      </c>
      <c r="AF23" s="2"/>
    </row>
    <row r="24" spans="1:32" ht="21" customHeight="1">
      <c r="A24" s="33" t="s">
        <v>234</v>
      </c>
      <c r="B24" s="186"/>
      <c r="C24" s="29"/>
      <c r="D24" s="29"/>
      <c r="E24" s="29"/>
      <c r="F24" s="29"/>
      <c r="G24" s="181">
        <f t="shared" ref="G24:G29" si="24">IF($M$14=100,$M24,IF($N$14=100,$N24,IF($O$14=100,$O24,IF($P$14=100,$P24,IF($Q$14=100,$Q24,IF($R$14=100,$R24,$R24))))))</f>
        <v>0.1</v>
      </c>
      <c r="H24" s="181">
        <f t="shared" si="17"/>
        <v>0</v>
      </c>
      <c r="I24" s="182">
        <f t="shared" si="16"/>
        <v>0</v>
      </c>
      <c r="J24" s="191" t="str">
        <f>IF('Proj Info'!B41=" "," ",'Proj Info'!B41)</f>
        <v/>
      </c>
      <c r="K24" s="17">
        <f>LARGE(M22:M29,3)</f>
        <v>0</v>
      </c>
      <c r="L24" s="17">
        <f>IF(O31&gt;100,K24-0.1,IF(O31&lt;100,K24+0.1,K24))</f>
        <v>0.1</v>
      </c>
      <c r="M24" s="18">
        <f t="shared" si="18"/>
        <v>0</v>
      </c>
      <c r="N24" s="15">
        <f t="shared" si="19"/>
        <v>0.1</v>
      </c>
      <c r="O24" s="15">
        <f t="shared" si="20"/>
        <v>0.1</v>
      </c>
      <c r="P24" s="15">
        <f t="shared" si="21"/>
        <v>0.1</v>
      </c>
      <c r="Q24" s="15">
        <f t="shared" si="22"/>
        <v>0.1</v>
      </c>
      <c r="R24" s="15">
        <f t="shared" si="23"/>
        <v>0.1</v>
      </c>
      <c r="S24" s="2"/>
      <c r="T24" s="77" t="s">
        <v>63</v>
      </c>
      <c r="U24" s="78">
        <f>'Grad 1'!I10</f>
        <v>0</v>
      </c>
      <c r="V24" s="78">
        <f>'Grad 1'!I27</f>
        <v>0</v>
      </c>
      <c r="W24" s="78">
        <f>'Grad 1'!I43</f>
        <v>0</v>
      </c>
      <c r="X24" s="79" t="str">
        <f t="shared" si="12"/>
        <v xml:space="preserve"> </v>
      </c>
      <c r="Y24" s="247" t="str">
        <f t="shared" si="13"/>
        <v xml:space="preserve"> </v>
      </c>
      <c r="Z24" s="262">
        <f>'Mix Info'!G13</f>
        <v>0</v>
      </c>
      <c r="AA24" s="92">
        <f t="shared" si="10"/>
        <v>0</v>
      </c>
      <c r="AB24" s="92">
        <f>IF(Z24+5&gt;100,100,IF(Z24+5&gt;10,ROUND(Z24+5,1),ROUND(Z24+5,0)))</f>
        <v>5</v>
      </c>
      <c r="AC24" s="76" t="str">
        <f t="shared" si="11"/>
        <v>No</v>
      </c>
      <c r="AD24" s="14">
        <f t="shared" si="14"/>
        <v>0</v>
      </c>
      <c r="AE24" s="2" t="str">
        <f t="shared" si="15"/>
        <v>0-5</v>
      </c>
      <c r="AF24" s="2"/>
    </row>
    <row r="25" spans="1:32" ht="21" customHeight="1">
      <c r="A25" s="33" t="s">
        <v>235</v>
      </c>
      <c r="B25" s="186"/>
      <c r="C25" s="29"/>
      <c r="D25" s="29"/>
      <c r="E25" s="29"/>
      <c r="F25" s="29"/>
      <c r="G25" s="181">
        <f t="shared" si="24"/>
        <v>0.1</v>
      </c>
      <c r="H25" s="181">
        <f t="shared" si="17"/>
        <v>0</v>
      </c>
      <c r="I25" s="182">
        <f t="shared" si="16"/>
        <v>0</v>
      </c>
      <c r="J25" s="191" t="str">
        <f>IF('Proj Info'!B42=" "," ",'Proj Info'!B42)</f>
        <v/>
      </c>
      <c r="K25" s="17">
        <f>LARGE(M22:M29,4)</f>
        <v>0</v>
      </c>
      <c r="L25" s="17">
        <f>IF(P31&gt;100,K25-0.1,IF(P31&lt;100,K25+0.1,K25))</f>
        <v>0.1</v>
      </c>
      <c r="M25" s="18">
        <f t="shared" si="18"/>
        <v>0</v>
      </c>
      <c r="N25" s="15">
        <f t="shared" si="19"/>
        <v>0.1</v>
      </c>
      <c r="O25" s="15">
        <f t="shared" si="20"/>
        <v>0.1</v>
      </c>
      <c r="P25" s="15">
        <f t="shared" si="21"/>
        <v>0.1</v>
      </c>
      <c r="Q25" s="15">
        <f t="shared" si="22"/>
        <v>0.1</v>
      </c>
      <c r="R25" s="15">
        <f t="shared" si="23"/>
        <v>0.1</v>
      </c>
      <c r="S25" s="2"/>
      <c r="T25" s="77" t="s">
        <v>64</v>
      </c>
      <c r="U25" s="78">
        <f>'Grad 1'!I11</f>
        <v>0</v>
      </c>
      <c r="V25" s="78">
        <f>'Grad 1'!I28</f>
        <v>0</v>
      </c>
      <c r="W25" s="78">
        <f>'Grad 1'!I44</f>
        <v>0</v>
      </c>
      <c r="X25" s="79" t="str">
        <f t="shared" si="12"/>
        <v xml:space="preserve"> </v>
      </c>
      <c r="Y25" s="247" t="str">
        <f t="shared" si="13"/>
        <v xml:space="preserve"> </v>
      </c>
      <c r="Z25" s="262">
        <f>'Mix Info'!G14</f>
        <v>0</v>
      </c>
      <c r="AA25" s="92">
        <f>IF((Z25-4)&gt;0,Z25-4,0)</f>
        <v>0</v>
      </c>
      <c r="AB25" s="92">
        <f>IF(Z25+4&gt;10,ROUND(Z25+4,1),ROUND(Z25+4,0))</f>
        <v>4</v>
      </c>
      <c r="AC25" s="76" t="str">
        <f t="shared" si="11"/>
        <v>No</v>
      </c>
      <c r="AD25" s="14">
        <f t="shared" si="14"/>
        <v>0</v>
      </c>
      <c r="AE25" s="2" t="str">
        <f t="shared" si="15"/>
        <v>0-4</v>
      </c>
      <c r="AF25" s="2"/>
    </row>
    <row r="26" spans="1:32" ht="21" customHeight="1">
      <c r="A26" s="33" t="s">
        <v>236</v>
      </c>
      <c r="B26" s="186"/>
      <c r="C26" s="29"/>
      <c r="D26" s="29"/>
      <c r="E26" s="29"/>
      <c r="F26" s="29"/>
      <c r="G26" s="181">
        <f t="shared" si="24"/>
        <v>0.1</v>
      </c>
      <c r="H26" s="181">
        <f t="shared" si="17"/>
        <v>0</v>
      </c>
      <c r="I26" s="182">
        <f t="shared" si="16"/>
        <v>0</v>
      </c>
      <c r="J26" s="191" t="str">
        <f>IF('Proj Info'!B43=" "," ",'Proj Info'!B43)</f>
        <v/>
      </c>
      <c r="K26" s="17">
        <f>LARGE(M22:M29,5)</f>
        <v>0</v>
      </c>
      <c r="L26" s="17">
        <f>IF(Q31&gt;100,K26-0.1,IF(Q31&lt;100,K26+0.1,K26))</f>
        <v>0.1</v>
      </c>
      <c r="M26" s="18">
        <f t="shared" si="18"/>
        <v>0</v>
      </c>
      <c r="N26" s="15">
        <f t="shared" si="19"/>
        <v>0.1</v>
      </c>
      <c r="O26" s="15">
        <f t="shared" si="20"/>
        <v>0.1</v>
      </c>
      <c r="P26" s="15">
        <f t="shared" si="21"/>
        <v>0.1</v>
      </c>
      <c r="Q26" s="15">
        <f t="shared" si="22"/>
        <v>0.1</v>
      </c>
      <c r="R26" s="15">
        <f t="shared" si="23"/>
        <v>0.1</v>
      </c>
      <c r="S26" s="2"/>
      <c r="T26" s="77" t="s">
        <v>65</v>
      </c>
      <c r="U26" s="80">
        <f>U25-($U$25-$U$30)/5</f>
        <v>0</v>
      </c>
      <c r="V26" s="80">
        <f>V25-($V$25-$V$30)/5</f>
        <v>0</v>
      </c>
      <c r="W26" s="78">
        <f>'Grad 1'!I45</f>
        <v>0</v>
      </c>
      <c r="X26" s="79" t="str">
        <f t="shared" si="12"/>
        <v xml:space="preserve"> </v>
      </c>
      <c r="Y26" s="247" t="str">
        <f t="shared" si="13"/>
        <v xml:space="preserve"> </v>
      </c>
      <c r="Z26" s="262">
        <f>'Mix Info'!G15</f>
        <v>0</v>
      </c>
      <c r="AA26" s="92">
        <f>IF((Z26-4)&gt;0,Z26-4,0)</f>
        <v>0</v>
      </c>
      <c r="AB26" s="92">
        <f>IF(Z26+4&gt;10,ROUND(Z26+4,1),ROUND(Z26+4,0))</f>
        <v>4</v>
      </c>
      <c r="AC26" s="76" t="str">
        <f t="shared" si="11"/>
        <v>No</v>
      </c>
      <c r="AD26" s="14">
        <f t="shared" si="14"/>
        <v>0</v>
      </c>
      <c r="AE26" s="2" t="str">
        <f t="shared" si="15"/>
        <v>0-4</v>
      </c>
      <c r="AF26" s="2"/>
    </row>
    <row r="27" spans="1:32" ht="21" customHeight="1">
      <c r="A27" s="33" t="s">
        <v>237</v>
      </c>
      <c r="B27" s="186"/>
      <c r="C27" s="29"/>
      <c r="D27" s="29"/>
      <c r="E27" s="29"/>
      <c r="F27" s="29"/>
      <c r="G27" s="181">
        <f t="shared" si="24"/>
        <v>0.1</v>
      </c>
      <c r="H27" s="181">
        <f t="shared" si="17"/>
        <v>0</v>
      </c>
      <c r="I27" s="182">
        <f t="shared" si="16"/>
        <v>0</v>
      </c>
      <c r="J27" s="191" t="str">
        <f>IF('Proj Info'!B44=" "," ",'Proj Info'!B44)</f>
        <v/>
      </c>
      <c r="K27" s="17"/>
      <c r="L27" s="17"/>
      <c r="M27" s="18">
        <f t="shared" si="18"/>
        <v>0</v>
      </c>
      <c r="N27" s="15">
        <f t="shared" si="19"/>
        <v>0.1</v>
      </c>
      <c r="O27" s="15">
        <f t="shared" si="20"/>
        <v>0.1</v>
      </c>
      <c r="P27" s="15">
        <f t="shared" si="21"/>
        <v>0.1</v>
      </c>
      <c r="Q27" s="15">
        <f t="shared" si="22"/>
        <v>0.1</v>
      </c>
      <c r="R27" s="15">
        <f t="shared" si="23"/>
        <v>0.1</v>
      </c>
      <c r="S27" s="2"/>
      <c r="T27" s="77" t="s">
        <v>66</v>
      </c>
      <c r="U27" s="80">
        <f>U26-($U$25-$U$30)/5</f>
        <v>0</v>
      </c>
      <c r="V27" s="80">
        <f>V26-($V$25-$V$30)/5</f>
        <v>0</v>
      </c>
      <c r="W27" s="78">
        <f>'Grad 1'!I46</f>
        <v>0</v>
      </c>
      <c r="X27" s="79" t="str">
        <f t="shared" si="12"/>
        <v xml:space="preserve"> </v>
      </c>
      <c r="Y27" s="247" t="str">
        <f t="shared" si="13"/>
        <v xml:space="preserve"> </v>
      </c>
      <c r="Z27" s="262">
        <f>'Mix Info'!G16</f>
        <v>0</v>
      </c>
      <c r="AA27" s="92">
        <f>IF((Z27-4)&gt;0,Z27-4,0)</f>
        <v>0</v>
      </c>
      <c r="AB27" s="92">
        <f>IF(Z27+4&gt;10,ROUND(Z27+4,1),ROUND(Z27+4,1))</f>
        <v>4</v>
      </c>
      <c r="AC27" s="76" t="str">
        <f t="shared" si="11"/>
        <v>No</v>
      </c>
      <c r="AD27" s="14">
        <f t="shared" si="14"/>
        <v>0</v>
      </c>
      <c r="AE27" s="2" t="str">
        <f t="shared" si="15"/>
        <v>0-4</v>
      </c>
      <c r="AF27" s="2"/>
    </row>
    <row r="28" spans="1:32" ht="21" customHeight="1" thickBot="1">
      <c r="A28" s="33" t="s">
        <v>238</v>
      </c>
      <c r="B28" s="186"/>
      <c r="C28" s="29"/>
      <c r="D28" s="36" t="s">
        <v>27</v>
      </c>
      <c r="E28" s="29"/>
      <c r="F28" s="29"/>
      <c r="G28" s="181">
        <f t="shared" si="24"/>
        <v>0.1</v>
      </c>
      <c r="H28" s="181">
        <f t="shared" si="17"/>
        <v>0</v>
      </c>
      <c r="I28" s="182">
        <f t="shared" si="16"/>
        <v>0</v>
      </c>
      <c r="J28" s="191" t="str">
        <f>IF('Proj Info'!B45=" "," ",'Proj Info'!B45)</f>
        <v/>
      </c>
      <c r="K28" s="17"/>
      <c r="L28" s="17"/>
      <c r="M28" s="18">
        <f t="shared" si="18"/>
        <v>0</v>
      </c>
      <c r="N28" s="15">
        <f t="shared" si="19"/>
        <v>0.1</v>
      </c>
      <c r="O28" s="15">
        <f t="shared" si="20"/>
        <v>0.1</v>
      </c>
      <c r="P28" s="15">
        <f t="shared" si="21"/>
        <v>0.1</v>
      </c>
      <c r="Q28" s="15">
        <f t="shared" si="22"/>
        <v>0.1</v>
      </c>
      <c r="R28" s="15">
        <f t="shared" si="23"/>
        <v>0.1</v>
      </c>
      <c r="S28" s="2"/>
      <c r="T28" s="77" t="s">
        <v>67</v>
      </c>
      <c r="U28" s="80">
        <f>U27-($U$25-$U$30)/5</f>
        <v>0</v>
      </c>
      <c r="V28" s="80">
        <f>V27-($V$25-$V$30)/5</f>
        <v>0</v>
      </c>
      <c r="W28" s="78">
        <f>'Grad 1'!I47</f>
        <v>0</v>
      </c>
      <c r="X28" s="79" t="str">
        <f t="shared" si="12"/>
        <v xml:space="preserve"> </v>
      </c>
      <c r="Y28" s="247" t="str">
        <f t="shared" si="13"/>
        <v xml:space="preserve"> </v>
      </c>
      <c r="Z28" s="262">
        <f>'Mix Info'!G17</f>
        <v>0</v>
      </c>
      <c r="AA28" s="92">
        <f>IF((Z28-3)&gt;0,Z28-3,0)</f>
        <v>0</v>
      </c>
      <c r="AB28" s="92">
        <f>IF(Z28+3&gt;10,ROUND(Z28+3,0),ROUND(Z28+3,1))</f>
        <v>3</v>
      </c>
      <c r="AC28" s="76" t="str">
        <f t="shared" si="11"/>
        <v>No</v>
      </c>
      <c r="AD28" s="14">
        <f t="shared" si="14"/>
        <v>0</v>
      </c>
      <c r="AE28" s="2" t="str">
        <f t="shared" si="15"/>
        <v>0-3</v>
      </c>
      <c r="AF28" s="2"/>
    </row>
    <row r="29" spans="1:32" ht="21" customHeight="1" thickBot="1">
      <c r="A29" s="33" t="s">
        <v>39</v>
      </c>
      <c r="B29" s="179"/>
      <c r="C29" s="29"/>
      <c r="D29" s="184">
        <f>IF(B29="",0,SUM(B22:B29))</f>
        <v>0</v>
      </c>
      <c r="E29" s="29"/>
      <c r="F29" s="29"/>
      <c r="G29" s="181">
        <f t="shared" si="24"/>
        <v>0.1</v>
      </c>
      <c r="H29" s="37"/>
      <c r="I29" s="37"/>
      <c r="J29" s="194"/>
      <c r="K29" s="17"/>
      <c r="L29" s="17"/>
      <c r="M29" s="18">
        <f t="shared" si="18"/>
        <v>0</v>
      </c>
      <c r="N29" s="15">
        <f t="shared" si="19"/>
        <v>0.1</v>
      </c>
      <c r="O29" s="15">
        <f t="shared" si="20"/>
        <v>0.1</v>
      </c>
      <c r="P29" s="15">
        <f t="shared" si="21"/>
        <v>0.1</v>
      </c>
      <c r="Q29" s="15">
        <f t="shared" si="22"/>
        <v>0.1</v>
      </c>
      <c r="R29" s="15">
        <f t="shared" si="23"/>
        <v>0.1</v>
      </c>
      <c r="S29" s="2"/>
      <c r="T29" s="77" t="s">
        <v>68</v>
      </c>
      <c r="U29" s="80">
        <f>U28-($U$25-$U$30)/5</f>
        <v>0</v>
      </c>
      <c r="V29" s="80">
        <f>V28-($V$25-$V$30)/5</f>
        <v>0</v>
      </c>
      <c r="W29" s="78">
        <f>'Grad 1'!I48</f>
        <v>0</v>
      </c>
      <c r="X29" s="79" t="str">
        <f t="shared" si="12"/>
        <v xml:space="preserve"> </v>
      </c>
      <c r="Y29" s="247" t="str">
        <f t="shared" si="13"/>
        <v xml:space="preserve"> </v>
      </c>
      <c r="Z29" s="262">
        <f>'Mix Info'!G18</f>
        <v>0</v>
      </c>
      <c r="AA29" s="92">
        <f>IF((Z29-2)&gt;0,Z29-2,0)</f>
        <v>0</v>
      </c>
      <c r="AB29" s="92">
        <f>IF(Z29+2&gt;10,ROUND(Z29+2,0),ROUND(Z29+2,1))</f>
        <v>2</v>
      </c>
      <c r="AC29" s="76" t="str">
        <f t="shared" si="11"/>
        <v>No</v>
      </c>
      <c r="AD29" s="14">
        <f t="shared" si="14"/>
        <v>0</v>
      </c>
      <c r="AE29" s="2" t="str">
        <f t="shared" si="15"/>
        <v>0-2</v>
      </c>
      <c r="AF29" s="2"/>
    </row>
    <row r="30" spans="1:32" ht="21" customHeight="1">
      <c r="A30" s="229" t="s">
        <v>239</v>
      </c>
      <c r="B30" s="187"/>
      <c r="C30" s="37" t="s">
        <v>37</v>
      </c>
      <c r="D30" s="29"/>
      <c r="E30" s="29"/>
      <c r="F30" s="29"/>
      <c r="G30" s="181">
        <f>SUM(G22:G29)</f>
        <v>0.79999999999999993</v>
      </c>
      <c r="H30" s="183"/>
      <c r="I30" s="183"/>
      <c r="J30" s="194"/>
      <c r="K30" s="14"/>
      <c r="L30" s="14"/>
      <c r="M30" s="16"/>
      <c r="N30" s="17"/>
      <c r="O30" s="19"/>
      <c r="P30" s="19"/>
      <c r="Q30" s="19"/>
      <c r="R30" s="19"/>
      <c r="S30" s="2"/>
      <c r="T30" s="77" t="s">
        <v>17</v>
      </c>
      <c r="U30" s="78">
        <f>'Grad 1'!I14</f>
        <v>0</v>
      </c>
      <c r="V30" s="78">
        <f>'Grad 1'!I31</f>
        <v>0</v>
      </c>
      <c r="W30" s="78">
        <f>'Grad 1'!I49</f>
        <v>0</v>
      </c>
      <c r="X30" s="79" t="str">
        <f t="shared" si="12"/>
        <v xml:space="preserve"> </v>
      </c>
      <c r="Y30" s="247" t="str">
        <f t="shared" si="13"/>
        <v xml:space="preserve"> </v>
      </c>
      <c r="Z30" s="262">
        <f>'Mix Info'!G19</f>
        <v>1.5</v>
      </c>
      <c r="AA30" s="92">
        <v>0</v>
      </c>
      <c r="AB30" s="92">
        <f>Z30</f>
        <v>1.5</v>
      </c>
      <c r="AC30" s="76" t="str">
        <f t="shared" si="11"/>
        <v>No</v>
      </c>
      <c r="AD30" s="14">
        <f t="shared" si="14"/>
        <v>0</v>
      </c>
      <c r="AE30" s="2" t="str">
        <f t="shared" si="15"/>
        <v>0-1.5</v>
      </c>
      <c r="AF30" s="2"/>
    </row>
    <row r="31" spans="1:32" ht="21" customHeight="1" thickBot="1">
      <c r="A31" s="230" t="s">
        <v>240</v>
      </c>
      <c r="B31" s="188"/>
      <c r="C31" s="37" t="s">
        <v>38</v>
      </c>
      <c r="D31" s="29"/>
      <c r="E31" s="29"/>
      <c r="F31" s="29"/>
      <c r="G31" s="183"/>
      <c r="H31" s="38" t="s">
        <v>17</v>
      </c>
      <c r="I31" s="180">
        <f>ROUND(IF(B34=0,0,SUM(B34/B30)*100),1)</f>
        <v>0</v>
      </c>
      <c r="J31" s="191" t="str">
        <f>IF('Proj Info'!B46=" "," ",'Proj Info'!B46)</f>
        <v/>
      </c>
      <c r="K31" s="14"/>
      <c r="L31" s="17"/>
      <c r="M31" s="17">
        <f t="shared" ref="M31:R31" si="25">ROUND(IF(M29="",0,SUM(M22:M29)),1)</f>
        <v>0</v>
      </c>
      <c r="N31" s="17">
        <f t="shared" si="25"/>
        <v>0.8</v>
      </c>
      <c r="O31" s="17">
        <f t="shared" si="25"/>
        <v>0.8</v>
      </c>
      <c r="P31" s="17">
        <f t="shared" si="25"/>
        <v>0.8</v>
      </c>
      <c r="Q31" s="17">
        <f t="shared" si="25"/>
        <v>0.8</v>
      </c>
      <c r="R31" s="17">
        <f t="shared" si="25"/>
        <v>0.8</v>
      </c>
      <c r="S31" s="2"/>
      <c r="T31" s="81"/>
      <c r="U31" s="83"/>
      <c r="V31" s="83"/>
      <c r="W31" s="83"/>
      <c r="X31" s="82"/>
      <c r="Y31" s="82"/>
      <c r="Z31" s="87"/>
      <c r="AA31" s="83"/>
      <c r="AB31" s="83"/>
      <c r="AC31" s="71"/>
      <c r="AD31" s="14">
        <f>+SUM(AD19:AD30)</f>
        <v>0</v>
      </c>
      <c r="AE31" s="2" t="str">
        <f>IF(AD31=12,"Y","N")</f>
        <v>N</v>
      </c>
      <c r="AF31" s="2"/>
    </row>
    <row r="32" spans="1:32" ht="21" customHeight="1" thickTop="1">
      <c r="A32" s="33" t="s">
        <v>39</v>
      </c>
      <c r="B32" s="179"/>
      <c r="C32" s="37" t="s">
        <v>40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S32" s="2"/>
      <c r="T32" s="2"/>
      <c r="U32" s="2"/>
      <c r="V32" s="2"/>
      <c r="W32" s="2"/>
      <c r="X32" s="2" t="s">
        <v>128</v>
      </c>
      <c r="Y32" s="263" t="str">
        <f>IF(B4="","",((100-Y19)+(Y19-Y20)+(Y20-Y21)+(Y21-Y22)+(Y22-Y23))/((100-Y19)+(Y19-Y20)+(Y20-Y21)+(Y21-Y22)+(Y22-Y23)+(Y23-Y24)+(Y24-Y25))*100)</f>
        <v/>
      </c>
      <c r="Z32" s="2"/>
      <c r="AA32" s="2"/>
      <c r="AB32" s="2"/>
      <c r="AC32" s="2"/>
      <c r="AD32" s="2"/>
      <c r="AE32" s="2"/>
      <c r="AF32" s="2"/>
    </row>
    <row r="33" spans="1:32" ht="21" customHeight="1">
      <c r="A33" s="33" t="s">
        <v>41</v>
      </c>
      <c r="B33" s="180">
        <f>IF(B31="",0,SUM(B30-B31))</f>
        <v>0</v>
      </c>
      <c r="C33" s="37" t="s">
        <v>42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S33" s="2"/>
      <c r="T33" s="2"/>
      <c r="U33" s="2"/>
      <c r="V33" s="2"/>
      <c r="W33" s="2"/>
      <c r="X33" s="2" t="s">
        <v>129</v>
      </c>
      <c r="Y33" s="263" t="str">
        <f>IF(Y25="","",Y25)</f>
        <v xml:space="preserve"> </v>
      </c>
      <c r="Z33" s="2"/>
      <c r="AA33" s="2"/>
      <c r="AB33" s="2"/>
      <c r="AC33" s="2"/>
      <c r="AD33" s="2"/>
      <c r="AE33" s="2"/>
      <c r="AF33" s="2"/>
    </row>
    <row r="34" spans="1:32" ht="21" customHeight="1">
      <c r="A34" s="33" t="s">
        <v>43</v>
      </c>
      <c r="B34" s="189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21" customHeight="1">
      <c r="A35" s="33" t="s">
        <v>241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21" customHeight="1">
      <c r="A38" s="232" t="s">
        <v>242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21" customHeight="1">
      <c r="A39" s="233" t="s">
        <v>243</v>
      </c>
      <c r="B39" s="179"/>
      <c r="C39" s="287" t="s">
        <v>139</v>
      </c>
      <c r="D39" s="288"/>
      <c r="E39" s="177">
        <f>ROUND(IF(D51=0,0,SUM(D51/B39)*100),1)</f>
        <v>0</v>
      </c>
      <c r="F39" s="31" t="s">
        <v>32</v>
      </c>
      <c r="G39" s="10" t="s">
        <v>46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  <c r="S39" s="12"/>
    </row>
    <row r="40" spans="1:32" ht="21" customHeight="1">
      <c r="A40" s="233" t="s">
        <v>244</v>
      </c>
      <c r="B40" s="179"/>
      <c r="C40" s="29"/>
      <c r="D40" s="289" t="str">
        <f>IF(E39&lt;5,"",IF(E39&lt;99.5,"Check Weights.",IF(E39&gt;100.5,"Check Weights","")))</f>
        <v/>
      </c>
      <c r="E40" s="290"/>
      <c r="F40" s="35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  <c r="S40" s="12"/>
    </row>
    <row r="41" spans="1:32" ht="21" customHeight="1">
      <c r="A41" s="33" t="s">
        <v>235</v>
      </c>
      <c r="B41" s="179"/>
      <c r="C41" s="29"/>
      <c r="D41" s="34"/>
      <c r="E41" s="35"/>
      <c r="F41" s="35"/>
      <c r="G41" s="180">
        <f t="shared" ref="G41:G47" si="26">IF($M$52=100,$M41,IF($N$52=100,$N41,IF($O$52=100,$O41,IF($P$52=100,$P41,IF($Q$52=100,$Q41,IF($R$52=100,$R41,$R41))))))</f>
        <v>0.1</v>
      </c>
      <c r="H41" s="180">
        <f>IF(D51=0,0,100-G41)</f>
        <v>0</v>
      </c>
      <c r="I41" s="190">
        <f>IF(H41&gt;9.9,ROUND(H41,0),ROUND(H41,1))</f>
        <v>0</v>
      </c>
      <c r="J41" s="191"/>
      <c r="K41" s="14"/>
      <c r="L41" s="14"/>
      <c r="M41" s="22">
        <f>ROUND(IF(B41="",0,SUM(B41/$B$39)*100),1)</f>
        <v>0</v>
      </c>
      <c r="N41" s="19">
        <f>IF(M41=K42,L42,M41)</f>
        <v>0</v>
      </c>
      <c r="O41" s="23">
        <f>IF(N41=K$44,L$44,N41)</f>
        <v>0.1</v>
      </c>
      <c r="P41" s="23">
        <f>IF(O41=K$45,L$45,O41)</f>
        <v>0.1</v>
      </c>
      <c r="Q41" s="23">
        <f>IF(P41=K$46,L$46,P41)</f>
        <v>0.1</v>
      </c>
      <c r="R41" s="23">
        <f>IF(Q41=K$46,L$46,Q41)</f>
        <v>0.1</v>
      </c>
      <c r="S41" s="12"/>
    </row>
    <row r="42" spans="1:32" ht="21" customHeight="1">
      <c r="A42" s="33" t="s">
        <v>236</v>
      </c>
      <c r="B42" s="179"/>
      <c r="C42" s="29"/>
      <c r="D42" s="29"/>
      <c r="E42" s="29"/>
      <c r="F42" s="29"/>
      <c r="G42" s="180">
        <f t="shared" si="26"/>
        <v>0.1</v>
      </c>
      <c r="H42" s="180">
        <f t="shared" ref="H42:H49" si="27">IF(H41=0,0,(H41-G42))</f>
        <v>0</v>
      </c>
      <c r="I42" s="190">
        <f>IF(H42&gt;9.9,ROUND(H42,0),ROUND(H42,1))</f>
        <v>0</v>
      </c>
      <c r="J42" s="191" t="str">
        <f>IF('Proj Info'!B47=" "," ",'Proj Info'!B47)</f>
        <v/>
      </c>
      <c r="K42" s="14"/>
      <c r="L42" s="14"/>
      <c r="M42" s="22">
        <f>ROUND(IF(B42="",0,SUM(B42/$B$39)*100),1)</f>
        <v>0</v>
      </c>
      <c r="N42" s="19">
        <f>IF(M42=K43,L43,M42)</f>
        <v>0.1</v>
      </c>
      <c r="O42" s="23">
        <f>IF(N42=K$44,L$44,N42)</f>
        <v>0.1</v>
      </c>
      <c r="P42" s="23">
        <f>IF(O42=K$45,L$45,O42)</f>
        <v>0.1</v>
      </c>
      <c r="Q42" s="23">
        <f>IF(P42=K$46,L$46,P42)</f>
        <v>0.1</v>
      </c>
      <c r="R42" s="23">
        <f>IF(Q42=K$46,L$46,Q42)</f>
        <v>0.1</v>
      </c>
      <c r="S42" s="12"/>
    </row>
    <row r="43" spans="1:32" ht="21" customHeight="1">
      <c r="A43" s="33" t="s">
        <v>237</v>
      </c>
      <c r="B43" s="179"/>
      <c r="C43" s="29"/>
      <c r="D43" s="29"/>
      <c r="E43" s="29"/>
      <c r="F43" s="29"/>
      <c r="G43" s="180">
        <f t="shared" si="26"/>
        <v>0.1</v>
      </c>
      <c r="H43" s="180">
        <f t="shared" si="27"/>
        <v>0</v>
      </c>
      <c r="I43" s="190">
        <f>IF(H43&gt;9.9,ROUND(H43,0),ROUND(H43,1))</f>
        <v>0</v>
      </c>
      <c r="J43" s="191" t="str">
        <f>IF('Proj Info'!B48=" "," ",'Proj Info'!B48)</f>
        <v/>
      </c>
      <c r="K43" s="17">
        <f>LARGE(M43:M47,1)</f>
        <v>0</v>
      </c>
      <c r="L43" s="17">
        <f>IF(M52&lt;100,(K43+0.1),IF(M52&gt;100,(K43-0.1),K43))</f>
        <v>0.1</v>
      </c>
      <c r="M43" s="22">
        <f>ROUND(IF(B43="",0,SUM(B43/$B$39)*100),1)</f>
        <v>0</v>
      </c>
      <c r="N43" s="19">
        <f>IF(M43=$K$43,$L$43,M43)</f>
        <v>0.1</v>
      </c>
      <c r="O43" s="23">
        <f>IF(N43=K$44,L$44,N43)</f>
        <v>0.1</v>
      </c>
      <c r="P43" s="23">
        <f>IF(O43=K$45,L$45,O43)</f>
        <v>0.1</v>
      </c>
      <c r="Q43" s="23">
        <f>IF(P43=K$46,L$46,P43)</f>
        <v>0.1</v>
      </c>
      <c r="R43" s="23">
        <f>IF(Q43=K$47,L$47,Q43)</f>
        <v>0.1</v>
      </c>
      <c r="S43" s="12"/>
    </row>
    <row r="44" spans="1:32" ht="21" customHeight="1">
      <c r="A44" s="33" t="s">
        <v>238</v>
      </c>
      <c r="B44" s="179"/>
      <c r="C44" s="29"/>
      <c r="D44" s="29"/>
      <c r="E44" s="29"/>
      <c r="F44" s="29"/>
      <c r="G44" s="180">
        <f t="shared" si="26"/>
        <v>0.1</v>
      </c>
      <c r="H44" s="180">
        <f t="shared" si="27"/>
        <v>0</v>
      </c>
      <c r="I44" s="190">
        <f t="shared" ref="I44:I49" si="28">IF(H44&gt;9.9,ROUND(H44,0),ROUND(H44,1))</f>
        <v>0</v>
      </c>
      <c r="J44" s="191" t="str">
        <f>IF('Proj Info'!B49=" "," ",'Proj Info'!B49)</f>
        <v/>
      </c>
      <c r="K44" s="17">
        <f>LARGE(M43:M47,2)</f>
        <v>0</v>
      </c>
      <c r="L44" s="17">
        <f>IF(N52&lt;100,(K44+0.1),IF(N52&gt;100,(K44-0.1),K44))</f>
        <v>0.1</v>
      </c>
      <c r="M44" s="22">
        <f t="shared" ref="M44:M49" si="29">ROUND(IF(B44="",0,SUM(B44/$B$39)*100),1)</f>
        <v>0</v>
      </c>
      <c r="N44" s="19">
        <f t="shared" ref="N44:N50" si="30">IF(M44=$K$43,$L$43,M44)</f>
        <v>0.1</v>
      </c>
      <c r="O44" s="23">
        <f t="shared" ref="O44:O50" si="31">IF(N44=K$44,L$44,N44)</f>
        <v>0.1</v>
      </c>
      <c r="P44" s="23">
        <f t="shared" ref="P44:P50" si="32">IF(O44=K$45,L$45,O44)</f>
        <v>0.1</v>
      </c>
      <c r="Q44" s="23">
        <f t="shared" ref="Q44:Q50" si="33">IF(P44=K$46,L$46,P44)</f>
        <v>0.1</v>
      </c>
      <c r="R44" s="23">
        <f t="shared" ref="R44:R50" si="34">IF(Q44=K$47,L$47,Q44)</f>
        <v>0.1</v>
      </c>
      <c r="S44" s="12"/>
    </row>
    <row r="45" spans="1:32" ht="21" customHeight="1">
      <c r="A45" s="33" t="s">
        <v>245</v>
      </c>
      <c r="B45" s="179"/>
      <c r="C45" s="29"/>
      <c r="D45" s="29"/>
      <c r="E45" s="29"/>
      <c r="F45" s="29"/>
      <c r="G45" s="180">
        <f t="shared" si="26"/>
        <v>0.1</v>
      </c>
      <c r="H45" s="180">
        <f t="shared" si="27"/>
        <v>0</v>
      </c>
      <c r="I45" s="190">
        <f t="shared" si="28"/>
        <v>0</v>
      </c>
      <c r="J45" s="192"/>
      <c r="K45" s="17">
        <f>LARGE(M43:M47,3)</f>
        <v>0</v>
      </c>
      <c r="L45" s="17">
        <f>IF(O52&gt;100,K45-0.1,IF(O52&lt;100,K45+0.1,K45))</f>
        <v>0.1</v>
      </c>
      <c r="M45" s="22">
        <f t="shared" si="29"/>
        <v>0</v>
      </c>
      <c r="N45" s="19">
        <f t="shared" si="30"/>
        <v>0.1</v>
      </c>
      <c r="O45" s="23">
        <f t="shared" si="31"/>
        <v>0.1</v>
      </c>
      <c r="P45" s="23">
        <f t="shared" si="32"/>
        <v>0.1</v>
      </c>
      <c r="Q45" s="23">
        <f t="shared" si="33"/>
        <v>0.1</v>
      </c>
      <c r="R45" s="23">
        <f t="shared" si="34"/>
        <v>0.1</v>
      </c>
      <c r="S45" s="12"/>
    </row>
    <row r="46" spans="1:32" ht="21" customHeight="1">
      <c r="A46" s="33" t="s">
        <v>246</v>
      </c>
      <c r="B46" s="179"/>
      <c r="C46" s="29"/>
      <c r="D46" s="29"/>
      <c r="E46" s="29"/>
      <c r="F46" s="29"/>
      <c r="G46" s="180">
        <f t="shared" si="26"/>
        <v>0.1</v>
      </c>
      <c r="H46" s="180">
        <f t="shared" si="27"/>
        <v>0</v>
      </c>
      <c r="I46" s="190">
        <f t="shared" si="28"/>
        <v>0</v>
      </c>
      <c r="J46" s="191" t="str">
        <f>IF('Proj Info'!B50=" "," ",'Proj Info'!B50)</f>
        <v/>
      </c>
      <c r="K46" s="17">
        <f>LARGE(M43:M47,4)</f>
        <v>0</v>
      </c>
      <c r="L46" s="17">
        <f>IF(P52&gt;100,K46-0.1,IF(P52&lt;100,K46+0.1,K46))</f>
        <v>0.1</v>
      </c>
      <c r="M46" s="22">
        <f t="shared" si="29"/>
        <v>0</v>
      </c>
      <c r="N46" s="19">
        <f t="shared" si="30"/>
        <v>0.1</v>
      </c>
      <c r="O46" s="23">
        <f t="shared" si="31"/>
        <v>0.1</v>
      </c>
      <c r="P46" s="23">
        <f t="shared" si="32"/>
        <v>0.1</v>
      </c>
      <c r="Q46" s="23">
        <f t="shared" si="33"/>
        <v>0.1</v>
      </c>
      <c r="R46" s="23">
        <f t="shared" si="34"/>
        <v>0.1</v>
      </c>
      <c r="S46" s="12"/>
    </row>
    <row r="47" spans="1:32" ht="21" customHeight="1">
      <c r="A47" s="33" t="s">
        <v>247</v>
      </c>
      <c r="B47" s="179"/>
      <c r="C47" s="29"/>
      <c r="D47" s="29"/>
      <c r="E47" s="29"/>
      <c r="F47" s="29"/>
      <c r="G47" s="180">
        <f t="shared" si="26"/>
        <v>0.1</v>
      </c>
      <c r="H47" s="180">
        <f t="shared" si="27"/>
        <v>0</v>
      </c>
      <c r="I47" s="190">
        <f t="shared" si="28"/>
        <v>0</v>
      </c>
      <c r="J47" s="193"/>
      <c r="K47" s="17">
        <f>LARGE(M43:M47,5)</f>
        <v>0</v>
      </c>
      <c r="L47" s="17">
        <f>IF(Q52&gt;100,K47-0.1,IF(Q52&lt;100,K47+0.1,K47))</f>
        <v>0.1</v>
      </c>
      <c r="M47" s="22">
        <f t="shared" si="29"/>
        <v>0</v>
      </c>
      <c r="N47" s="19">
        <f t="shared" si="30"/>
        <v>0.1</v>
      </c>
      <c r="O47" s="23">
        <f t="shared" si="31"/>
        <v>0.1</v>
      </c>
      <c r="P47" s="23">
        <f t="shared" si="32"/>
        <v>0.1</v>
      </c>
      <c r="Q47" s="23">
        <f t="shared" si="33"/>
        <v>0.1</v>
      </c>
      <c r="R47" s="23">
        <f t="shared" si="34"/>
        <v>0.1</v>
      </c>
      <c r="S47" s="12"/>
    </row>
    <row r="48" spans="1:32" ht="21" customHeight="1">
      <c r="A48" s="33" t="s">
        <v>248</v>
      </c>
      <c r="B48" s="179"/>
      <c r="C48" s="29"/>
      <c r="D48" s="29"/>
      <c r="E48" s="29"/>
      <c r="F48" s="29"/>
      <c r="G48" s="180">
        <f>IF($M$52=100,$M48,IF($N$52=100,$N48,IF($O$52=100,$O48,IF($P$52=100,$P48,IF($Q$52=100,$Q48,IF($R$52=100,$R48,$R48))))))</f>
        <v>0.1</v>
      </c>
      <c r="H48" s="180">
        <f t="shared" si="27"/>
        <v>0</v>
      </c>
      <c r="I48" s="190">
        <f t="shared" si="28"/>
        <v>0</v>
      </c>
      <c r="J48" s="192"/>
      <c r="K48" s="17"/>
      <c r="L48" s="17"/>
      <c r="M48" s="22">
        <f t="shared" si="29"/>
        <v>0</v>
      </c>
      <c r="N48" s="19">
        <f t="shared" si="30"/>
        <v>0.1</v>
      </c>
      <c r="O48" s="23">
        <f t="shared" si="31"/>
        <v>0.1</v>
      </c>
      <c r="P48" s="23">
        <f t="shared" si="32"/>
        <v>0.1</v>
      </c>
      <c r="Q48" s="23">
        <f t="shared" si="33"/>
        <v>0.1</v>
      </c>
      <c r="R48" s="23">
        <f t="shared" si="34"/>
        <v>0.1</v>
      </c>
    </row>
    <row r="49" spans="1:18" ht="21" customHeight="1">
      <c r="A49" s="33" t="s">
        <v>249</v>
      </c>
      <c r="B49" s="179"/>
      <c r="C49" s="29"/>
      <c r="D49" s="29"/>
      <c r="E49" s="29"/>
      <c r="F49" s="29"/>
      <c r="G49" s="180">
        <f>IF($M$52=100,$M49,IF($N$52=100,$N49,IF($O$52=100,$O49,IF($P$52=100,$P49,IF($Q$52=100,$Q49,IF($R$52=100,$R49,$R49))))))</f>
        <v>0.1</v>
      </c>
      <c r="H49" s="180">
        <f t="shared" si="27"/>
        <v>0</v>
      </c>
      <c r="I49" s="190">
        <f t="shared" si="28"/>
        <v>0</v>
      </c>
      <c r="J49" s="191" t="str">
        <f>IF('Proj Info'!B51=" "," ",'Proj Info'!B51)</f>
        <v/>
      </c>
      <c r="K49" s="17"/>
      <c r="L49" s="17"/>
      <c r="M49" s="22">
        <f t="shared" si="29"/>
        <v>0</v>
      </c>
      <c r="N49" s="19">
        <f t="shared" si="30"/>
        <v>0.1</v>
      </c>
      <c r="O49" s="23">
        <f t="shared" si="31"/>
        <v>0.1</v>
      </c>
      <c r="P49" s="23">
        <f t="shared" si="32"/>
        <v>0.1</v>
      </c>
      <c r="Q49" s="23">
        <f t="shared" si="33"/>
        <v>0.1</v>
      </c>
      <c r="R49" s="23">
        <f t="shared" si="34"/>
        <v>0.1</v>
      </c>
    </row>
    <row r="50" spans="1:18" ht="21" customHeight="1" thickBot="1">
      <c r="A50" s="33" t="s">
        <v>47</v>
      </c>
      <c r="B50" s="179"/>
      <c r="C50" s="29"/>
      <c r="D50" s="36" t="s">
        <v>27</v>
      </c>
      <c r="E50" s="29"/>
      <c r="F50" s="29"/>
      <c r="G50" s="180">
        <f>IF($M$52=100,$M50,IF($N$52=100,$N50,IF($O$52=100,$O50,IF($P$52=100,$P50,IF($Q$52=100,$Q50,IF($R$52=100,$R50,$R50))))))</f>
        <v>0.1</v>
      </c>
      <c r="H50" s="176"/>
      <c r="I50" s="176"/>
      <c r="J50" s="21"/>
      <c r="K50" s="17"/>
      <c r="L50" s="17"/>
      <c r="M50" s="22">
        <f>ROUND(IF(B50="",0,SUM((B50+B51)/$B$39)*100),1)</f>
        <v>0</v>
      </c>
      <c r="N50" s="19">
        <f t="shared" si="30"/>
        <v>0.1</v>
      </c>
      <c r="O50" s="23">
        <f t="shared" si="31"/>
        <v>0.1</v>
      </c>
      <c r="P50" s="23">
        <f t="shared" si="32"/>
        <v>0.1</v>
      </c>
      <c r="Q50" s="23">
        <f t="shared" si="33"/>
        <v>0.1</v>
      </c>
      <c r="R50" s="23">
        <f t="shared" si="34"/>
        <v>0.1</v>
      </c>
    </row>
    <row r="51" spans="1:18" ht="21" customHeight="1" thickBot="1">
      <c r="A51" s="33" t="s">
        <v>48</v>
      </c>
      <c r="B51" s="180">
        <f>IF(B40="",0,SUM(B39-B40))</f>
        <v>0</v>
      </c>
      <c r="C51" s="29"/>
      <c r="D51" s="178">
        <f>IF(B50="",0,SUM(B41:B51))</f>
        <v>0</v>
      </c>
      <c r="E51" s="29"/>
      <c r="F51" s="29"/>
      <c r="G51" s="180">
        <f>IF(G50="",0,SUM(G41:G50))</f>
        <v>0.99999999999999989</v>
      </c>
      <c r="H51" s="176"/>
      <c r="I51" s="176"/>
      <c r="J51" s="21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147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5">ROUND(IF(M50="",0,SUM(M41:M50)),1)</f>
        <v>0</v>
      </c>
      <c r="N52" s="19">
        <f t="shared" si="35"/>
        <v>0.9</v>
      </c>
      <c r="O52" s="19">
        <f t="shared" si="35"/>
        <v>1</v>
      </c>
      <c r="P52" s="19">
        <f t="shared" si="35"/>
        <v>1</v>
      </c>
      <c r="Q52" s="19">
        <f t="shared" si="35"/>
        <v>1</v>
      </c>
      <c r="R52" s="19">
        <f t="shared" si="35"/>
        <v>1</v>
      </c>
    </row>
  </sheetData>
  <sheetProtection algorithmName="SHA-512" hashValue="HKC77twLV+l0ndcYrLJMWCN+TGTj0lQhdYigOhofMNp2McycwNRPdd0JU/xMvbUcOvFr6v2zr7bhampkCGaDRA==" saltValue="nJqStcCY8F4BBCTjWDmKBA==" spinCount="100000" sheet="1"/>
  <mergeCells count="6">
    <mergeCell ref="C39:D39"/>
    <mergeCell ref="D40:E40"/>
    <mergeCell ref="C4:D4"/>
    <mergeCell ref="C21:D21"/>
    <mergeCell ref="D5:E5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52"/>
  <sheetViews>
    <sheetView defaultGridColor="0" view="pageBreakPreview" topLeftCell="A13" colorId="22" zoomScale="75" zoomScaleNormal="75" workbookViewId="0">
      <pane xSplit="1" topLeftCell="B1" activePane="topRight" state="frozen"/>
      <selection pane="topRight" activeCell="A35" sqref="A35:B35"/>
    </sheetView>
  </sheetViews>
  <sheetFormatPr defaultColWidth="9.77734375" defaultRowHeight="15"/>
  <cols>
    <col min="1" max="1" width="20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31" ht="21" customHeight="1">
      <c r="A1" s="44" t="s">
        <v>251</v>
      </c>
      <c r="B1" s="23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1" customHeight="1">
      <c r="A2" s="44" t="s">
        <v>145</v>
      </c>
      <c r="B2" t="str">
        <f>IF('Proj Info'!B4="","",'Proj Info'!B4)</f>
        <v/>
      </c>
      <c r="S2" s="2"/>
      <c r="T2" s="45"/>
      <c r="U2" s="45"/>
      <c r="V2" s="45"/>
      <c r="W2" s="45"/>
      <c r="X2" s="46"/>
      <c r="Y2" s="46"/>
      <c r="Z2" s="45"/>
      <c r="AA2" s="2"/>
      <c r="AB2" s="2"/>
      <c r="AC2" s="2"/>
      <c r="AD2" s="2"/>
      <c r="AE2" s="2"/>
    </row>
    <row r="3" spans="1:31" ht="21" customHeight="1">
      <c r="A3" s="25" t="s">
        <v>146</v>
      </c>
      <c r="B3" s="26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S3" s="2"/>
      <c r="T3" s="2"/>
      <c r="U3" s="45"/>
      <c r="V3" s="45"/>
      <c r="W3" s="45"/>
      <c r="X3" s="46"/>
      <c r="Y3" s="46"/>
      <c r="Z3" s="45"/>
      <c r="AA3" s="2"/>
      <c r="AB3" s="2"/>
      <c r="AC3" s="2"/>
      <c r="AD3" s="2"/>
      <c r="AE3" s="2"/>
    </row>
    <row r="4" spans="1:31" ht="21" customHeight="1" thickBot="1">
      <c r="A4" s="202" t="s">
        <v>144</v>
      </c>
      <c r="B4" s="185"/>
      <c r="C4" s="287" t="s">
        <v>31</v>
      </c>
      <c r="D4" s="291"/>
      <c r="E4" s="177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S4" s="2"/>
      <c r="T4" s="47" t="s">
        <v>130</v>
      </c>
      <c r="U4" s="45"/>
      <c r="V4" s="45"/>
      <c r="W4" s="45"/>
      <c r="X4" s="2"/>
      <c r="Y4" s="48" t="s">
        <v>73</v>
      </c>
      <c r="Z4" s="45"/>
      <c r="AA4" s="2"/>
      <c r="AB4" s="2"/>
      <c r="AC4" s="2"/>
      <c r="AD4" s="2"/>
      <c r="AE4" s="2"/>
    </row>
    <row r="5" spans="1:31" ht="21" customHeight="1" thickTop="1">
      <c r="A5" s="33" t="s">
        <v>232</v>
      </c>
      <c r="B5" s="186"/>
      <c r="C5" s="29"/>
      <c r="D5" s="292" t="str">
        <f>IF(E4&lt;5,"",IF(E4&lt;99.5,"Check Weights.",IF(E4&gt;100.5,"Check Weights","")))</f>
        <v/>
      </c>
      <c r="E5" s="293"/>
      <c r="F5" s="35"/>
      <c r="G5" s="181">
        <f t="shared" ref="G5:G12" si="0">IF($M$14=100,$M5,IF($N$14=100,$N5,IF($O$14=100,$O5,IF($P$14=100,$P5,IF($Q$14=100,$Q5,IF($R$14=100,$R5,$R5))))))</f>
        <v>0.1</v>
      </c>
      <c r="H5" s="181">
        <f>IF(D12=0,0,100)</f>
        <v>0</v>
      </c>
      <c r="I5" s="182">
        <f t="shared" ref="I5:I11" si="1">IF(H5&gt;9.9,ROUND(H5,0),ROUND(H5,1))</f>
        <v>0</v>
      </c>
      <c r="J5" s="13" t="str">
        <f>IF('Proj Info'!B33=" "," ",'Proj Info'!B33)</f>
        <v/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S5" s="2"/>
      <c r="T5" s="49" t="s">
        <v>74</v>
      </c>
      <c r="U5" s="50"/>
      <c r="V5" s="50"/>
      <c r="W5" s="51"/>
      <c r="X5" s="257"/>
      <c r="Y5" s="257">
        <f>'Mix Info'!D11</f>
        <v>0</v>
      </c>
      <c r="Z5" s="52" t="e">
        <f>Y5/(SUM($Y$5:$Y$7))</f>
        <v>#DIV/0!</v>
      </c>
      <c r="AA5" s="2"/>
      <c r="AB5" s="2"/>
      <c r="AC5" s="2"/>
      <c r="AD5" s="2"/>
      <c r="AE5" s="2"/>
    </row>
    <row r="6" spans="1:31" ht="21" customHeight="1">
      <c r="A6" s="33" t="s">
        <v>233</v>
      </c>
      <c r="B6" s="186"/>
      <c r="C6" s="29"/>
      <c r="D6" s="31"/>
      <c r="E6" s="29"/>
      <c r="F6" s="29"/>
      <c r="G6" s="181">
        <f t="shared" si="0"/>
        <v>0.1</v>
      </c>
      <c r="H6" s="181">
        <f t="shared" ref="H6:H11" si="8">IF(H5=0,0,(H5-G6))</f>
        <v>0</v>
      </c>
      <c r="I6" s="182">
        <f t="shared" si="1"/>
        <v>0</v>
      </c>
      <c r="J6" s="13" t="str">
        <f>IF('Proj Info'!B34=" "," ",'Proj Info'!B34)</f>
        <v/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S6" s="2"/>
      <c r="T6" s="53" t="s">
        <v>75</v>
      </c>
      <c r="U6" s="54"/>
      <c r="V6" s="54"/>
      <c r="W6" s="55"/>
      <c r="X6" s="258"/>
      <c r="Y6" s="259">
        <f>'Mix Info'!D12</f>
        <v>0</v>
      </c>
      <c r="Z6" s="56" t="e">
        <f>Y6/(SUM($Y$5:$Y$7))</f>
        <v>#DIV/0!</v>
      </c>
      <c r="AA6" s="2"/>
      <c r="AB6" s="2"/>
      <c r="AC6" s="2"/>
      <c r="AD6" s="2"/>
      <c r="AE6" s="2"/>
    </row>
    <row r="7" spans="1:31" ht="21" customHeight="1" thickBot="1">
      <c r="A7" s="33" t="s">
        <v>234</v>
      </c>
      <c r="B7" s="186"/>
      <c r="C7" s="29"/>
      <c r="D7" s="29"/>
      <c r="E7" s="29"/>
      <c r="F7" s="29"/>
      <c r="G7" s="181">
        <f t="shared" si="0"/>
        <v>0.1</v>
      </c>
      <c r="H7" s="181">
        <f t="shared" si="8"/>
        <v>0</v>
      </c>
      <c r="I7" s="182">
        <f t="shared" si="1"/>
        <v>0</v>
      </c>
      <c r="J7" s="13" t="str">
        <f>IF('Proj Info'!B35=" "," ",'Proj Info'!B35)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S7" s="2"/>
      <c r="T7" s="57" t="s">
        <v>76</v>
      </c>
      <c r="U7" s="58"/>
      <c r="V7" s="58"/>
      <c r="W7" s="59"/>
      <c r="X7" s="260"/>
      <c r="Y7" s="261">
        <f>'Mix Info'!D13</f>
        <v>0</v>
      </c>
      <c r="Z7" s="60" t="e">
        <f>Y7/(SUM($Y$5:Y$7))</f>
        <v>#DIV/0!</v>
      </c>
      <c r="AA7" s="2"/>
      <c r="AB7" s="2"/>
      <c r="AC7" s="2"/>
      <c r="AD7" s="2"/>
      <c r="AE7" s="2"/>
    </row>
    <row r="8" spans="1:31" ht="21" customHeight="1" thickTop="1">
      <c r="A8" s="33" t="s">
        <v>235</v>
      </c>
      <c r="B8" s="186"/>
      <c r="C8" s="29"/>
      <c r="D8" s="29"/>
      <c r="E8" s="29"/>
      <c r="F8" s="29"/>
      <c r="G8" s="181">
        <f t="shared" si="0"/>
        <v>0.1</v>
      </c>
      <c r="H8" s="181">
        <f t="shared" si="8"/>
        <v>0</v>
      </c>
      <c r="I8" s="182">
        <f t="shared" si="1"/>
        <v>0</v>
      </c>
      <c r="J8" s="13" t="str">
        <f>IF('Proj Info'!B36=" "," ",'Proj Info'!B36)</f>
        <v/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1" customHeight="1">
      <c r="A9" s="33" t="s">
        <v>236</v>
      </c>
      <c r="B9" s="186"/>
      <c r="C9" s="29"/>
      <c r="D9" s="29"/>
      <c r="E9" s="29"/>
      <c r="F9" s="29"/>
      <c r="G9" s="181">
        <f t="shared" si="0"/>
        <v>0.1</v>
      </c>
      <c r="H9" s="181">
        <f t="shared" si="8"/>
        <v>0</v>
      </c>
      <c r="I9" s="182">
        <f t="shared" si="1"/>
        <v>0</v>
      </c>
      <c r="J9" s="13" t="str">
        <f>IF('Proj Info'!B37=" "," ",'Proj Info'!B37)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1" customHeight="1">
      <c r="A10" s="33" t="s">
        <v>237</v>
      </c>
      <c r="B10" s="186"/>
      <c r="C10" s="29"/>
      <c r="D10" s="29"/>
      <c r="E10" s="29"/>
      <c r="F10" s="29"/>
      <c r="G10" s="181">
        <f t="shared" si="0"/>
        <v>0.1</v>
      </c>
      <c r="H10" s="181">
        <f t="shared" si="8"/>
        <v>0</v>
      </c>
      <c r="I10" s="182">
        <f t="shared" si="1"/>
        <v>0</v>
      </c>
      <c r="J10" s="13" t="str">
        <f>IF('Proj Info'!B38=" "," ",'Proj Info'!B38)</f>
        <v/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1" customHeight="1" thickBot="1">
      <c r="A11" s="33" t="s">
        <v>238</v>
      </c>
      <c r="B11" s="186"/>
      <c r="C11" s="29"/>
      <c r="D11" s="36" t="s">
        <v>27</v>
      </c>
      <c r="E11" s="29"/>
      <c r="F11" s="29"/>
      <c r="G11" s="181">
        <f t="shared" si="0"/>
        <v>0.1</v>
      </c>
      <c r="H11" s="181">
        <f t="shared" si="8"/>
        <v>0</v>
      </c>
      <c r="I11" s="182">
        <f t="shared" si="1"/>
        <v>0</v>
      </c>
      <c r="J11" s="13" t="str">
        <f>IF('Proj Info'!B39=" "," ",'Proj Info'!B39)</f>
        <v/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1" customHeight="1" thickBot="1">
      <c r="A12" s="33" t="s">
        <v>39</v>
      </c>
      <c r="B12" s="179"/>
      <c r="C12" s="29"/>
      <c r="D12" s="184">
        <f>IF(B12="",0,SUM(B5:B12))</f>
        <v>0</v>
      </c>
      <c r="E12" s="29"/>
      <c r="F12" s="29"/>
      <c r="G12" s="181">
        <f t="shared" si="0"/>
        <v>0.1</v>
      </c>
      <c r="H12" s="37"/>
      <c r="I12" s="37"/>
      <c r="J12" s="203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S12" s="2"/>
      <c r="T12" s="47" t="s">
        <v>89</v>
      </c>
      <c r="U12" s="45"/>
      <c r="V12" s="45"/>
      <c r="W12" s="45"/>
      <c r="X12" s="48"/>
      <c r="Y12" s="48"/>
      <c r="Z12" s="45"/>
      <c r="AA12" s="84"/>
      <c r="AB12" s="84"/>
      <c r="AC12" s="85"/>
      <c r="AD12" s="2"/>
      <c r="AE12" s="2"/>
    </row>
    <row r="13" spans="1:31" ht="21" customHeight="1" thickBot="1">
      <c r="A13" s="229" t="s">
        <v>239</v>
      </c>
      <c r="B13" s="187"/>
      <c r="C13" s="37" t="s">
        <v>37</v>
      </c>
      <c r="D13" s="29"/>
      <c r="E13" s="29"/>
      <c r="F13" s="29"/>
      <c r="G13" s="181">
        <f>SUM(G5:G12)</f>
        <v>0.79999999999999993</v>
      </c>
      <c r="H13" s="183"/>
      <c r="I13" s="183"/>
      <c r="J13" s="203"/>
      <c r="K13" s="14"/>
      <c r="L13" s="14"/>
      <c r="M13" s="16"/>
      <c r="N13" s="17"/>
      <c r="O13" s="19"/>
      <c r="P13" s="19"/>
      <c r="Q13" s="19"/>
      <c r="R13" s="19"/>
      <c r="S13" s="2"/>
      <c r="T13" s="2"/>
      <c r="U13" s="61"/>
      <c r="V13" s="61"/>
      <c r="W13" s="61"/>
      <c r="X13" s="86"/>
      <c r="Y13" s="86"/>
      <c r="Z13" s="61"/>
      <c r="AA13" s="61"/>
      <c r="AB13" s="61"/>
      <c r="AC13" s="2"/>
      <c r="AD13" s="2"/>
      <c r="AE13" s="2"/>
    </row>
    <row r="14" spans="1:31" ht="21" customHeight="1" thickTop="1">
      <c r="A14" s="230" t="s">
        <v>240</v>
      </c>
      <c r="B14" s="188"/>
      <c r="C14" s="37" t="s">
        <v>38</v>
      </c>
      <c r="D14" s="29"/>
      <c r="E14" s="29"/>
      <c r="F14" s="29"/>
      <c r="G14" s="183"/>
      <c r="H14" s="38" t="s">
        <v>17</v>
      </c>
      <c r="I14" s="180">
        <f>ROUND(IF(B17=0,0,SUM(B17/B13)*100),1)</f>
        <v>0</v>
      </c>
      <c r="J14" s="13" t="str">
        <f>IF('Proj Info'!B40=" "," ",'Proj Info'!B40)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S14" s="2"/>
      <c r="T14" s="62"/>
      <c r="U14" s="63" t="s">
        <v>13</v>
      </c>
      <c r="V14" s="63" t="s">
        <v>14</v>
      </c>
      <c r="W14" s="63" t="s">
        <v>15</v>
      </c>
      <c r="X14" s="63"/>
      <c r="Y14" s="63" t="s">
        <v>77</v>
      </c>
      <c r="Z14" s="63" t="s">
        <v>78</v>
      </c>
      <c r="AA14" s="63" t="s">
        <v>78</v>
      </c>
      <c r="AB14" s="63" t="s">
        <v>78</v>
      </c>
      <c r="AC14" s="64"/>
      <c r="AD14" s="2"/>
      <c r="AE14" s="2"/>
    </row>
    <row r="15" spans="1:31" ht="21" customHeight="1">
      <c r="A15" s="33" t="s">
        <v>39</v>
      </c>
      <c r="B15" s="179"/>
      <c r="C15" s="37" t="s">
        <v>40</v>
      </c>
      <c r="D15" s="29"/>
      <c r="E15" s="29"/>
      <c r="F15" s="29"/>
      <c r="G15" s="176"/>
      <c r="H15" s="183"/>
      <c r="I15" s="183"/>
      <c r="J15" s="203"/>
      <c r="K15" s="14"/>
      <c r="L15" s="14"/>
      <c r="M15" s="14"/>
      <c r="N15" s="14"/>
      <c r="O15" s="14"/>
      <c r="P15" s="14"/>
      <c r="Q15" s="14"/>
      <c r="R15" s="14"/>
      <c r="S15" s="2"/>
      <c r="T15" s="65" t="s">
        <v>79</v>
      </c>
      <c r="U15" s="66" t="s">
        <v>16</v>
      </c>
      <c r="V15" s="66" t="s">
        <v>16</v>
      </c>
      <c r="W15" s="66" t="s">
        <v>16</v>
      </c>
      <c r="X15" s="66"/>
      <c r="Y15" s="66" t="s">
        <v>80</v>
      </c>
      <c r="Z15" s="66" t="s">
        <v>81</v>
      </c>
      <c r="AA15" s="66" t="s">
        <v>82</v>
      </c>
      <c r="AB15" s="66" t="s">
        <v>83</v>
      </c>
      <c r="AC15" s="67" t="s">
        <v>84</v>
      </c>
      <c r="AD15" s="2"/>
      <c r="AE15" s="2"/>
    </row>
    <row r="16" spans="1:31" ht="21" customHeight="1">
      <c r="A16" s="33" t="s">
        <v>41</v>
      </c>
      <c r="B16" s="180">
        <f>IF(B14="",0,SUM(B13-B14))</f>
        <v>0</v>
      </c>
      <c r="C16" s="37" t="s">
        <v>42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S16" s="2"/>
      <c r="T16" s="65" t="s">
        <v>85</v>
      </c>
      <c r="U16" s="66" t="s">
        <v>70</v>
      </c>
      <c r="V16" s="66" t="s">
        <v>70</v>
      </c>
      <c r="W16" s="66" t="s">
        <v>70</v>
      </c>
      <c r="X16" s="66"/>
      <c r="Y16" s="66" t="s">
        <v>86</v>
      </c>
      <c r="Z16" s="66" t="s">
        <v>86</v>
      </c>
      <c r="AA16" s="66" t="s">
        <v>86</v>
      </c>
      <c r="AB16" s="66" t="s">
        <v>86</v>
      </c>
      <c r="AC16" s="68" t="s">
        <v>81</v>
      </c>
      <c r="AD16" s="2"/>
      <c r="AE16" s="2"/>
    </row>
    <row r="17" spans="1:31" ht="21" customHeight="1" thickBot="1">
      <c r="A17" s="33" t="s">
        <v>43</v>
      </c>
      <c r="B17" s="189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S17" s="2"/>
      <c r="T17" s="69"/>
      <c r="U17" s="70" t="s">
        <v>87</v>
      </c>
      <c r="V17" s="70" t="s">
        <v>87</v>
      </c>
      <c r="W17" s="70" t="s">
        <v>87</v>
      </c>
      <c r="X17" s="70"/>
      <c r="Y17" s="70" t="s">
        <v>87</v>
      </c>
      <c r="Z17" s="70" t="s">
        <v>87</v>
      </c>
      <c r="AA17" s="70" t="s">
        <v>87</v>
      </c>
      <c r="AB17" s="70" t="s">
        <v>87</v>
      </c>
      <c r="AC17" s="71"/>
      <c r="AD17" s="2"/>
      <c r="AE17" s="2"/>
    </row>
    <row r="18" spans="1:31" ht="21" customHeight="1" thickTop="1">
      <c r="A18" s="33" t="s">
        <v>241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S18" s="2"/>
      <c r="T18" s="72"/>
      <c r="U18" s="73"/>
      <c r="V18" s="73"/>
      <c r="W18" s="73"/>
      <c r="X18" s="74"/>
      <c r="Y18" s="74"/>
      <c r="Z18" s="75"/>
      <c r="AA18" s="55"/>
      <c r="AB18" s="55"/>
      <c r="AC18" s="76"/>
      <c r="AD18" s="2"/>
      <c r="AE18" s="2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S19" s="2"/>
      <c r="T19" s="77" t="s">
        <v>88</v>
      </c>
      <c r="U19" s="78">
        <f>'Grad 2'!I5</f>
        <v>0</v>
      </c>
      <c r="V19" s="78">
        <f>'Grad 2'!I22</f>
        <v>0</v>
      </c>
      <c r="W19" s="78">
        <v>100</v>
      </c>
      <c r="X19" s="79" t="str">
        <f>IF($B$4=0," ",IF($B$20=" ",U19*$Z$5+W19*$Z$7,U19*$Z$5+V19*$Z$6+W19*Z$7))</f>
        <v xml:space="preserve"> </v>
      </c>
      <c r="Y19" s="247" t="str">
        <f>X19</f>
        <v xml:space="preserve"> </v>
      </c>
      <c r="Z19" s="78">
        <f>'Grad 1'!Z19</f>
        <v>100</v>
      </c>
      <c r="AA19" s="92">
        <f t="shared" ref="AA19:AA24" si="10">IF((Z19-5)&gt;0,Z19-5,0)</f>
        <v>95</v>
      </c>
      <c r="AB19" s="92">
        <f t="shared" ref="AB19:AB24" si="11">IF(Z19+5&gt;100,100,Z19+5)</f>
        <v>100</v>
      </c>
      <c r="AC19" s="76" t="str">
        <f t="shared" ref="AC19:AC30" si="12">IF(AND(AA19&lt;=X19,X19&lt;=AB19),"Yes","No")</f>
        <v>No</v>
      </c>
      <c r="AD19" s="14">
        <f>IF(AC19="YES",1,0)</f>
        <v>0</v>
      </c>
      <c r="AE19" s="2" t="str">
        <f>CONCATENATE(AA19,"-",AB19)</f>
        <v>95-100</v>
      </c>
    </row>
    <row r="20" spans="1:31" ht="21" customHeight="1">
      <c r="A20" s="25" t="s">
        <v>242</v>
      </c>
      <c r="B20" s="26"/>
      <c r="C20" s="27"/>
      <c r="D20" s="28"/>
      <c r="E20" s="29"/>
      <c r="F20" s="29"/>
      <c r="G20" s="10" t="s">
        <v>44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S20" s="2"/>
      <c r="T20" s="77" t="s">
        <v>59</v>
      </c>
      <c r="U20" s="78">
        <f>'Grad 2'!I6</f>
        <v>0</v>
      </c>
      <c r="V20" s="78">
        <f>'Grad 2'!I23</f>
        <v>0</v>
      </c>
      <c r="W20" s="78">
        <v>100</v>
      </c>
      <c r="X20" s="79" t="str">
        <f t="shared" ref="X20:X30" si="13">IF($B$4=0," ",IF($B$20=" ",U20*$Z$5+W20*$Z$7,U20*$Z$5+V20*$Z$6+W20*Z$7))</f>
        <v xml:space="preserve"> </v>
      </c>
      <c r="Y20" s="247" t="str">
        <f t="shared" ref="Y20:Y30" si="14">X20</f>
        <v xml:space="preserve"> </v>
      </c>
      <c r="Z20" s="78">
        <f>'Grad 1'!Z20</f>
        <v>0</v>
      </c>
      <c r="AA20" s="92">
        <f t="shared" si="10"/>
        <v>0</v>
      </c>
      <c r="AB20" s="92">
        <f t="shared" si="11"/>
        <v>5</v>
      </c>
      <c r="AC20" s="76" t="str">
        <f t="shared" si="12"/>
        <v>No</v>
      </c>
      <c r="AD20" s="14">
        <f t="shared" ref="AD20:AD30" si="15">IF(AC20="YES",1,0)</f>
        <v>0</v>
      </c>
      <c r="AE20" s="2" t="str">
        <f t="shared" ref="AE20:AE30" si="16">CONCATENATE(AA20,"-",AB20)</f>
        <v>0-5</v>
      </c>
    </row>
    <row r="21" spans="1:31" ht="21" customHeight="1" thickBot="1">
      <c r="A21" s="231" t="s">
        <v>239</v>
      </c>
      <c r="B21" s="185"/>
      <c r="C21" s="287" t="s">
        <v>31</v>
      </c>
      <c r="D21" s="291"/>
      <c r="E21" s="177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S21" s="2"/>
      <c r="T21" s="77" t="s">
        <v>60</v>
      </c>
      <c r="U21" s="78">
        <f>'Grad 2'!I7</f>
        <v>0</v>
      </c>
      <c r="V21" s="78">
        <f>'Grad 2'!I24</f>
        <v>0</v>
      </c>
      <c r="W21" s="78">
        <v>100</v>
      </c>
      <c r="X21" s="79" t="str">
        <f t="shared" si="13"/>
        <v xml:space="preserve"> </v>
      </c>
      <c r="Y21" s="247" t="str">
        <f t="shared" si="14"/>
        <v xml:space="preserve"> </v>
      </c>
      <c r="Z21" s="78">
        <f>'Grad 1'!Z21</f>
        <v>0</v>
      </c>
      <c r="AA21" s="92">
        <f t="shared" si="10"/>
        <v>0</v>
      </c>
      <c r="AB21" s="92">
        <f t="shared" si="11"/>
        <v>5</v>
      </c>
      <c r="AC21" s="76" t="str">
        <f t="shared" si="12"/>
        <v>No</v>
      </c>
      <c r="AD21" s="14">
        <f t="shared" si="15"/>
        <v>0</v>
      </c>
      <c r="AE21" s="2" t="str">
        <f t="shared" si="16"/>
        <v>0-5</v>
      </c>
    </row>
    <row r="22" spans="1:31" ht="21" customHeight="1">
      <c r="A22" s="33" t="s">
        <v>232</v>
      </c>
      <c r="B22" s="186"/>
      <c r="C22" s="29"/>
      <c r="D22" s="292" t="str">
        <f>IF(E21&lt;5,"",IF(E21&lt;99.5,"Check Weights.",IF(E21&gt;100.5,"Check Weights","")))</f>
        <v/>
      </c>
      <c r="E22" s="293"/>
      <c r="F22" s="35"/>
      <c r="G22" s="181">
        <f>IF($M$22=100,$M22,IF($N$22=100,$N22,IF($O$22=100,$O22,IF($P$22=100,$P22,IF($Q$22=100,$Q22,IF($R$22=100,$R22,$R22))))))</f>
        <v>0.1</v>
      </c>
      <c r="H22" s="181">
        <f>IF(D29=0,0,100)</f>
        <v>0</v>
      </c>
      <c r="I22" s="182">
        <f t="shared" ref="I22:I28" si="17">IF(H22&gt;9.9,ROUND(H22,0),ROUND(H22,1))</f>
        <v>0</v>
      </c>
      <c r="J22" s="191"/>
      <c r="K22" s="17">
        <f>LARGE(M22:M29,1)</f>
        <v>0</v>
      </c>
      <c r="L22" s="17">
        <f>IF(M31&lt;100,(K22+0.1),IF(M31&gt;100,(K22-0.1),K22))</f>
        <v>0.1</v>
      </c>
      <c r="M22" s="18">
        <f>ROUND(IF(B22="",0,SUM(B22/$B$21)*100),1)</f>
        <v>0</v>
      </c>
      <c r="N22" s="15">
        <f>IF(M22=$K$22,$L$22,M22)</f>
        <v>0.1</v>
      </c>
      <c r="O22" s="15">
        <f>IF(N22=K$23,L$23,N22)</f>
        <v>0.1</v>
      </c>
      <c r="P22" s="15">
        <f>IF(O22=K$24,L$24,O22)</f>
        <v>0.1</v>
      </c>
      <c r="Q22" s="15">
        <f>IF(P22=K$25,L$25,P22)</f>
        <v>0.1</v>
      </c>
      <c r="R22" s="15">
        <f>IF(Q22=K$26,L$26,Q22)</f>
        <v>0.1</v>
      </c>
      <c r="S22" s="2"/>
      <c r="T22" s="77" t="s">
        <v>61</v>
      </c>
      <c r="U22" s="78">
        <f>'Grad 2'!I8</f>
        <v>0</v>
      </c>
      <c r="V22" s="78">
        <f>'Grad 2'!I25</f>
        <v>0</v>
      </c>
      <c r="W22" s="78">
        <f>'Grad 2'!I41</f>
        <v>0</v>
      </c>
      <c r="X22" s="79" t="str">
        <f t="shared" si="13"/>
        <v xml:space="preserve"> </v>
      </c>
      <c r="Y22" s="247" t="str">
        <f t="shared" si="14"/>
        <v xml:space="preserve"> </v>
      </c>
      <c r="Z22" s="78">
        <f>'Grad 1'!Z22</f>
        <v>0</v>
      </c>
      <c r="AA22" s="92">
        <f t="shared" si="10"/>
        <v>0</v>
      </c>
      <c r="AB22" s="92">
        <f t="shared" si="11"/>
        <v>5</v>
      </c>
      <c r="AC22" s="76" t="str">
        <f t="shared" si="12"/>
        <v>No</v>
      </c>
      <c r="AD22" s="14">
        <f t="shared" si="15"/>
        <v>0</v>
      </c>
      <c r="AE22" s="2" t="str">
        <f t="shared" si="16"/>
        <v>0-5</v>
      </c>
    </row>
    <row r="23" spans="1:31" ht="21" customHeight="1">
      <c r="A23" s="33" t="s">
        <v>233</v>
      </c>
      <c r="B23" s="186"/>
      <c r="C23" s="29"/>
      <c r="D23" s="31"/>
      <c r="E23" s="29"/>
      <c r="F23" s="29"/>
      <c r="G23" s="181">
        <f>IF($M$23=100,$M23,IF($N$23=100,$N23,IF($O$23=100,$O23,IF($P$23=100,$P23,IF($Q$23=100,$Q23,IF($R$23=100,$R23,$R23))))))</f>
        <v>0.1</v>
      </c>
      <c r="H23" s="181">
        <f t="shared" ref="H23:H28" si="18">IF(H22=0,0,(H22-G23))</f>
        <v>0</v>
      </c>
      <c r="I23" s="182">
        <f t="shared" si="17"/>
        <v>0</v>
      </c>
      <c r="J23" s="191"/>
      <c r="K23" s="17">
        <f>LARGE(M22:M29,2)</f>
        <v>0</v>
      </c>
      <c r="L23" s="17">
        <f>IF(N31&gt;100,K23-0.1,IF(N31&lt;100,K23+0.1,K23))</f>
        <v>0.1</v>
      </c>
      <c r="M23" s="18">
        <f t="shared" ref="M23:M29" si="19">ROUND(IF(B23="",0,SUM(B23/$B$21)*100),1)</f>
        <v>0</v>
      </c>
      <c r="N23" s="15">
        <f t="shared" ref="N23:N29" si="20">IF(M23=$K$22,$L$22,M23)</f>
        <v>0.1</v>
      </c>
      <c r="O23" s="15">
        <f t="shared" ref="O23:O29" si="21">IF(N23=K$23,L$23,N23)</f>
        <v>0.1</v>
      </c>
      <c r="P23" s="15">
        <f t="shared" ref="P23:P29" si="22">IF(O23=K$24,L$24,O23)</f>
        <v>0.1</v>
      </c>
      <c r="Q23" s="15">
        <f t="shared" ref="Q23:Q29" si="23">IF(P23=K$25,L$25,P23)</f>
        <v>0.1</v>
      </c>
      <c r="R23" s="15">
        <f t="shared" ref="R23:R29" si="24">IF(Q23=K$26,L$26,Q23)</f>
        <v>0.1</v>
      </c>
      <c r="S23" s="2"/>
      <c r="T23" s="77" t="s">
        <v>62</v>
      </c>
      <c r="U23" s="78">
        <f>'Grad 2'!I9</f>
        <v>0</v>
      </c>
      <c r="V23" s="78">
        <f>'Grad 2'!I26</f>
        <v>0</v>
      </c>
      <c r="W23" s="78">
        <f>'Grad 2'!I42</f>
        <v>0</v>
      </c>
      <c r="X23" s="79" t="str">
        <f t="shared" si="13"/>
        <v xml:space="preserve"> </v>
      </c>
      <c r="Y23" s="247" t="str">
        <f t="shared" si="14"/>
        <v xml:space="preserve"> </v>
      </c>
      <c r="Z23" s="78">
        <f>'Grad 1'!Z23</f>
        <v>0</v>
      </c>
      <c r="AA23" s="92">
        <f t="shared" si="10"/>
        <v>0</v>
      </c>
      <c r="AB23" s="92">
        <f t="shared" si="11"/>
        <v>5</v>
      </c>
      <c r="AC23" s="76" t="str">
        <f t="shared" si="12"/>
        <v>No</v>
      </c>
      <c r="AD23" s="14">
        <f t="shared" si="15"/>
        <v>0</v>
      </c>
      <c r="AE23" s="2" t="str">
        <f t="shared" si="16"/>
        <v>0-5</v>
      </c>
    </row>
    <row r="24" spans="1:31" ht="21" customHeight="1">
      <c r="A24" s="33" t="s">
        <v>234</v>
      </c>
      <c r="B24" s="186"/>
      <c r="C24" s="29"/>
      <c r="D24" s="29"/>
      <c r="E24" s="29"/>
      <c r="F24" s="29"/>
      <c r="G24" s="181">
        <f t="shared" ref="G24:G29" si="25">IF($M$14=100,$M24,IF($N$14=100,$N24,IF($O$14=100,$O24,IF($P$14=100,$P24,IF($Q$14=100,$Q24,IF($R$14=100,$R24,$R24))))))</f>
        <v>0.1</v>
      </c>
      <c r="H24" s="181">
        <f t="shared" si="18"/>
        <v>0</v>
      </c>
      <c r="I24" s="182">
        <f t="shared" si="17"/>
        <v>0</v>
      </c>
      <c r="J24" s="191" t="str">
        <f>IF('Proj Info'!B41=" "," ",'Proj Info'!B41)</f>
        <v/>
      </c>
      <c r="K24" s="17">
        <f>LARGE(M22:M29,3)</f>
        <v>0</v>
      </c>
      <c r="L24" s="17">
        <f>IF(O31&gt;100,K24-0.1,IF(O31&lt;100,K24+0.1,K24))</f>
        <v>0.1</v>
      </c>
      <c r="M24" s="18">
        <f t="shared" si="19"/>
        <v>0</v>
      </c>
      <c r="N24" s="15">
        <f t="shared" si="20"/>
        <v>0.1</v>
      </c>
      <c r="O24" s="15">
        <f t="shared" si="21"/>
        <v>0.1</v>
      </c>
      <c r="P24" s="15">
        <f t="shared" si="22"/>
        <v>0.1</v>
      </c>
      <c r="Q24" s="15">
        <f t="shared" si="23"/>
        <v>0.1</v>
      </c>
      <c r="R24" s="15">
        <f t="shared" si="24"/>
        <v>0.1</v>
      </c>
      <c r="S24" s="2"/>
      <c r="T24" s="77" t="s">
        <v>63</v>
      </c>
      <c r="U24" s="78">
        <f>'Grad 2'!I10</f>
        <v>0</v>
      </c>
      <c r="V24" s="78">
        <f>'Grad 2'!I27</f>
        <v>0</v>
      </c>
      <c r="W24" s="78">
        <f>'Grad 2'!I43</f>
        <v>0</v>
      </c>
      <c r="X24" s="79" t="str">
        <f t="shared" si="13"/>
        <v xml:space="preserve"> </v>
      </c>
      <c r="Y24" s="247" t="str">
        <f t="shared" si="14"/>
        <v xml:space="preserve"> </v>
      </c>
      <c r="Z24" s="78">
        <f>'Grad 1'!Z24</f>
        <v>0</v>
      </c>
      <c r="AA24" s="92">
        <f t="shared" si="10"/>
        <v>0</v>
      </c>
      <c r="AB24" s="92">
        <f t="shared" si="11"/>
        <v>5</v>
      </c>
      <c r="AC24" s="76" t="str">
        <f t="shared" si="12"/>
        <v>No</v>
      </c>
      <c r="AD24" s="14">
        <f t="shared" si="15"/>
        <v>0</v>
      </c>
      <c r="AE24" s="2" t="str">
        <f t="shared" si="16"/>
        <v>0-5</v>
      </c>
    </row>
    <row r="25" spans="1:31" ht="21" customHeight="1">
      <c r="A25" s="33" t="s">
        <v>235</v>
      </c>
      <c r="B25" s="186"/>
      <c r="C25" s="29"/>
      <c r="D25" s="29"/>
      <c r="E25" s="29"/>
      <c r="F25" s="29"/>
      <c r="G25" s="181">
        <f t="shared" si="25"/>
        <v>0.1</v>
      </c>
      <c r="H25" s="181">
        <f t="shared" si="18"/>
        <v>0</v>
      </c>
      <c r="I25" s="182">
        <f t="shared" si="17"/>
        <v>0</v>
      </c>
      <c r="J25" s="191" t="str">
        <f>IF('Proj Info'!B42=" "," ",'Proj Info'!B42)</f>
        <v/>
      </c>
      <c r="K25" s="17">
        <f>LARGE(M22:M29,4)</f>
        <v>0</v>
      </c>
      <c r="L25" s="17">
        <f>IF(P31&gt;100,K25-0.1,IF(P31&lt;100,K25+0.1,K25))</f>
        <v>0.1</v>
      </c>
      <c r="M25" s="18">
        <f t="shared" si="19"/>
        <v>0</v>
      </c>
      <c r="N25" s="15">
        <f t="shared" si="20"/>
        <v>0.1</v>
      </c>
      <c r="O25" s="15">
        <f t="shared" si="21"/>
        <v>0.1</v>
      </c>
      <c r="P25" s="15">
        <f t="shared" si="22"/>
        <v>0.1</v>
      </c>
      <c r="Q25" s="15">
        <f t="shared" si="23"/>
        <v>0.1</v>
      </c>
      <c r="R25" s="15">
        <f t="shared" si="24"/>
        <v>0.1</v>
      </c>
      <c r="S25" s="2"/>
      <c r="T25" s="77" t="s">
        <v>64</v>
      </c>
      <c r="U25" s="78">
        <f>'Grad 2'!I11</f>
        <v>0</v>
      </c>
      <c r="V25" s="78">
        <f>'Grad 2'!I28</f>
        <v>0</v>
      </c>
      <c r="W25" s="78">
        <f>'Grad 2'!I44</f>
        <v>0</v>
      </c>
      <c r="X25" s="79" t="str">
        <f t="shared" si="13"/>
        <v xml:space="preserve"> </v>
      </c>
      <c r="Y25" s="247" t="str">
        <f t="shared" si="14"/>
        <v xml:space="preserve"> </v>
      </c>
      <c r="Z25" s="78">
        <f>'Grad 1'!Z25</f>
        <v>0</v>
      </c>
      <c r="AA25" s="92">
        <f>IF((Z25-4)&gt;0,Z25-4,0)</f>
        <v>0</v>
      </c>
      <c r="AB25" s="92">
        <f>Z25+4</f>
        <v>4</v>
      </c>
      <c r="AC25" s="76" t="str">
        <f t="shared" si="12"/>
        <v>No</v>
      </c>
      <c r="AD25" s="14">
        <f t="shared" si="15"/>
        <v>0</v>
      </c>
      <c r="AE25" s="2" t="str">
        <f t="shared" si="16"/>
        <v>0-4</v>
      </c>
    </row>
    <row r="26" spans="1:31" ht="21" customHeight="1">
      <c r="A26" s="33" t="s">
        <v>236</v>
      </c>
      <c r="B26" s="186"/>
      <c r="C26" s="29"/>
      <c r="D26" s="29"/>
      <c r="E26" s="29"/>
      <c r="F26" s="29"/>
      <c r="G26" s="181">
        <f t="shared" si="25"/>
        <v>0.1</v>
      </c>
      <c r="H26" s="181">
        <f t="shared" si="18"/>
        <v>0</v>
      </c>
      <c r="I26" s="182">
        <f t="shared" si="17"/>
        <v>0</v>
      </c>
      <c r="J26" s="191" t="str">
        <f>IF('Proj Info'!B43=" "," ",'Proj Info'!B43)</f>
        <v/>
      </c>
      <c r="K26" s="17">
        <f>LARGE(M22:M29,5)</f>
        <v>0</v>
      </c>
      <c r="L26" s="17">
        <f>IF(Q31&gt;100,K26-0.1,IF(Q31&lt;100,K26+0.1,K26))</f>
        <v>0.1</v>
      </c>
      <c r="M26" s="18">
        <f t="shared" si="19"/>
        <v>0</v>
      </c>
      <c r="N26" s="15">
        <f t="shared" si="20"/>
        <v>0.1</v>
      </c>
      <c r="O26" s="15">
        <f t="shared" si="21"/>
        <v>0.1</v>
      </c>
      <c r="P26" s="15">
        <f t="shared" si="22"/>
        <v>0.1</v>
      </c>
      <c r="Q26" s="15">
        <f t="shared" si="23"/>
        <v>0.1</v>
      </c>
      <c r="R26" s="15">
        <f t="shared" si="24"/>
        <v>0.1</v>
      </c>
      <c r="S26" s="2"/>
      <c r="T26" s="77" t="s">
        <v>65</v>
      </c>
      <c r="U26" s="80">
        <f>U25-($U$25-$U$30)/5</f>
        <v>0</v>
      </c>
      <c r="V26" s="80">
        <f>V25-($V$25-$V$30)/5</f>
        <v>0</v>
      </c>
      <c r="W26" s="78">
        <f>'Grad 2'!I45</f>
        <v>0</v>
      </c>
      <c r="X26" s="79" t="str">
        <f t="shared" si="13"/>
        <v xml:space="preserve"> </v>
      </c>
      <c r="Y26" s="247" t="str">
        <f t="shared" si="14"/>
        <v xml:space="preserve"> </v>
      </c>
      <c r="Z26" s="78">
        <f>'Grad 1'!Z26</f>
        <v>0</v>
      </c>
      <c r="AA26" s="92">
        <f>IF((Z26-4)&gt;0,Z26-4,0)</f>
        <v>0</v>
      </c>
      <c r="AB26" s="92">
        <f>Z26+4</f>
        <v>4</v>
      </c>
      <c r="AC26" s="76" t="str">
        <f t="shared" si="12"/>
        <v>No</v>
      </c>
      <c r="AD26" s="14">
        <f t="shared" si="15"/>
        <v>0</v>
      </c>
      <c r="AE26" s="2" t="str">
        <f t="shared" si="16"/>
        <v>0-4</v>
      </c>
    </row>
    <row r="27" spans="1:31" ht="21" customHeight="1">
      <c r="A27" s="33" t="s">
        <v>237</v>
      </c>
      <c r="B27" s="186"/>
      <c r="C27" s="29"/>
      <c r="D27" s="29"/>
      <c r="E27" s="29"/>
      <c r="F27" s="29"/>
      <c r="G27" s="181">
        <f t="shared" si="25"/>
        <v>0.1</v>
      </c>
      <c r="H27" s="181">
        <f t="shared" si="18"/>
        <v>0</v>
      </c>
      <c r="I27" s="182">
        <f t="shared" si="17"/>
        <v>0</v>
      </c>
      <c r="J27" s="191" t="str">
        <f>IF('Proj Info'!B44=" "," ",'Proj Info'!B44)</f>
        <v/>
      </c>
      <c r="K27" s="17"/>
      <c r="L27" s="17"/>
      <c r="M27" s="18">
        <f t="shared" si="19"/>
        <v>0</v>
      </c>
      <c r="N27" s="15">
        <f t="shared" si="20"/>
        <v>0.1</v>
      </c>
      <c r="O27" s="15">
        <f t="shared" si="21"/>
        <v>0.1</v>
      </c>
      <c r="P27" s="15">
        <f t="shared" si="22"/>
        <v>0.1</v>
      </c>
      <c r="Q27" s="15">
        <f t="shared" si="23"/>
        <v>0.1</v>
      </c>
      <c r="R27" s="15">
        <f t="shared" si="24"/>
        <v>0.1</v>
      </c>
      <c r="S27" s="2"/>
      <c r="T27" s="77" t="s">
        <v>66</v>
      </c>
      <c r="U27" s="80">
        <f>U26-($U$25-$U$30)/5</f>
        <v>0</v>
      </c>
      <c r="V27" s="80">
        <f>V26-($V$25-$V$30)/5</f>
        <v>0</v>
      </c>
      <c r="W27" s="78">
        <f>'Grad 2'!I46</f>
        <v>0</v>
      </c>
      <c r="X27" s="79" t="str">
        <f t="shared" si="13"/>
        <v xml:space="preserve"> </v>
      </c>
      <c r="Y27" s="247" t="str">
        <f t="shared" si="14"/>
        <v xml:space="preserve"> </v>
      </c>
      <c r="Z27" s="78">
        <f>'Grad 1'!Z27</f>
        <v>0</v>
      </c>
      <c r="AA27" s="92">
        <f>IF((Z27-4)&gt;0,Z27-4,0)</f>
        <v>0</v>
      </c>
      <c r="AB27" s="92">
        <f>Z27+4</f>
        <v>4</v>
      </c>
      <c r="AC27" s="76" t="str">
        <f t="shared" si="12"/>
        <v>No</v>
      </c>
      <c r="AD27" s="14">
        <f t="shared" si="15"/>
        <v>0</v>
      </c>
      <c r="AE27" s="2" t="str">
        <f t="shared" si="16"/>
        <v>0-4</v>
      </c>
    </row>
    <row r="28" spans="1:31" ht="21" customHeight="1" thickBot="1">
      <c r="A28" s="33" t="s">
        <v>238</v>
      </c>
      <c r="B28" s="186"/>
      <c r="C28" s="29"/>
      <c r="D28" s="36" t="s">
        <v>27</v>
      </c>
      <c r="E28" s="29"/>
      <c r="F28" s="29"/>
      <c r="G28" s="181">
        <f t="shared" si="25"/>
        <v>0.1</v>
      </c>
      <c r="H28" s="181">
        <f t="shared" si="18"/>
        <v>0</v>
      </c>
      <c r="I28" s="182">
        <f t="shared" si="17"/>
        <v>0</v>
      </c>
      <c r="J28" s="191" t="str">
        <f>IF('Proj Info'!B45=" "," ",'Proj Info'!B45)</f>
        <v/>
      </c>
      <c r="K28" s="17"/>
      <c r="L28" s="17"/>
      <c r="M28" s="18">
        <f t="shared" si="19"/>
        <v>0</v>
      </c>
      <c r="N28" s="15">
        <f t="shared" si="20"/>
        <v>0.1</v>
      </c>
      <c r="O28" s="15">
        <f t="shared" si="21"/>
        <v>0.1</v>
      </c>
      <c r="P28" s="15">
        <f t="shared" si="22"/>
        <v>0.1</v>
      </c>
      <c r="Q28" s="15">
        <f t="shared" si="23"/>
        <v>0.1</v>
      </c>
      <c r="R28" s="15">
        <f t="shared" si="24"/>
        <v>0.1</v>
      </c>
      <c r="S28" s="2"/>
      <c r="T28" s="77" t="s">
        <v>67</v>
      </c>
      <c r="U28" s="80">
        <f>U27-($U$25-$U$30)/5</f>
        <v>0</v>
      </c>
      <c r="V28" s="80">
        <f>V27-($V$25-$V$30)/5</f>
        <v>0</v>
      </c>
      <c r="W28" s="78">
        <f>'Grad 2'!I47</f>
        <v>0</v>
      </c>
      <c r="X28" s="79" t="str">
        <f t="shared" si="13"/>
        <v xml:space="preserve"> </v>
      </c>
      <c r="Y28" s="247" t="str">
        <f t="shared" si="14"/>
        <v xml:space="preserve"> </v>
      </c>
      <c r="Z28" s="78">
        <f>'Grad 1'!Z28</f>
        <v>0</v>
      </c>
      <c r="AA28" s="92">
        <f>IF((Z28-3)&gt;0,Z28-3,0)</f>
        <v>0</v>
      </c>
      <c r="AB28" s="92">
        <f>Z28+3</f>
        <v>3</v>
      </c>
      <c r="AC28" s="76" t="str">
        <f t="shared" si="12"/>
        <v>No</v>
      </c>
      <c r="AD28" s="14">
        <f t="shared" si="15"/>
        <v>0</v>
      </c>
      <c r="AE28" s="2" t="str">
        <f t="shared" si="16"/>
        <v>0-3</v>
      </c>
    </row>
    <row r="29" spans="1:31" ht="21" customHeight="1" thickBot="1">
      <c r="A29" s="33" t="s">
        <v>39</v>
      </c>
      <c r="B29" s="179"/>
      <c r="C29" s="29"/>
      <c r="D29" s="184">
        <f>IF(B29="",0,SUM(B22:B29))</f>
        <v>0</v>
      </c>
      <c r="E29" s="29"/>
      <c r="F29" s="29"/>
      <c r="G29" s="181">
        <f t="shared" si="25"/>
        <v>0.1</v>
      </c>
      <c r="H29" s="37"/>
      <c r="I29" s="37"/>
      <c r="J29" s="194"/>
      <c r="K29" s="17"/>
      <c r="L29" s="17"/>
      <c r="M29" s="18">
        <f t="shared" si="19"/>
        <v>0</v>
      </c>
      <c r="N29" s="15">
        <f t="shared" si="20"/>
        <v>0.1</v>
      </c>
      <c r="O29" s="15">
        <f t="shared" si="21"/>
        <v>0.1</v>
      </c>
      <c r="P29" s="15">
        <f t="shared" si="22"/>
        <v>0.1</v>
      </c>
      <c r="Q29" s="15">
        <f t="shared" si="23"/>
        <v>0.1</v>
      </c>
      <c r="R29" s="15">
        <f t="shared" si="24"/>
        <v>0.1</v>
      </c>
      <c r="S29" s="2"/>
      <c r="T29" s="77" t="s">
        <v>68</v>
      </c>
      <c r="U29" s="80">
        <f>U28-($U$25-$U$30)/5</f>
        <v>0</v>
      </c>
      <c r="V29" s="80">
        <f>V28-($V$25-$V$30)/5</f>
        <v>0</v>
      </c>
      <c r="W29" s="78">
        <f>'Grad 2'!I48</f>
        <v>0</v>
      </c>
      <c r="X29" s="79" t="str">
        <f t="shared" si="13"/>
        <v xml:space="preserve"> </v>
      </c>
      <c r="Y29" s="247" t="str">
        <f t="shared" si="14"/>
        <v xml:space="preserve"> </v>
      </c>
      <c r="Z29" s="78">
        <f>'Grad 1'!Z29</f>
        <v>0</v>
      </c>
      <c r="AA29" s="92">
        <f>IF((Z29-2)&gt;0,Z29-2,0)</f>
        <v>0</v>
      </c>
      <c r="AB29" s="92">
        <f>Z29+2</f>
        <v>2</v>
      </c>
      <c r="AC29" s="76" t="str">
        <f t="shared" si="12"/>
        <v>No</v>
      </c>
      <c r="AD29" s="14">
        <f t="shared" si="15"/>
        <v>0</v>
      </c>
      <c r="AE29" s="2" t="str">
        <f t="shared" si="16"/>
        <v>0-2</v>
      </c>
    </row>
    <row r="30" spans="1:31" ht="21" customHeight="1">
      <c r="A30" s="229" t="s">
        <v>239</v>
      </c>
      <c r="B30" s="187"/>
      <c r="C30" s="37" t="s">
        <v>37</v>
      </c>
      <c r="D30" s="29"/>
      <c r="E30" s="29"/>
      <c r="F30" s="29"/>
      <c r="G30" s="181">
        <f>SUM(G22:G29)</f>
        <v>0.79999999999999993</v>
      </c>
      <c r="H30" s="183"/>
      <c r="I30" s="183"/>
      <c r="J30" s="194"/>
      <c r="K30" s="14"/>
      <c r="L30" s="14"/>
      <c r="M30" s="16"/>
      <c r="N30" s="17"/>
      <c r="O30" s="19"/>
      <c r="P30" s="19"/>
      <c r="Q30" s="19"/>
      <c r="R30" s="19"/>
      <c r="S30" s="2"/>
      <c r="T30" s="77" t="s">
        <v>17</v>
      </c>
      <c r="U30" s="78">
        <f>'Grad 2'!$I$14</f>
        <v>0</v>
      </c>
      <c r="V30" s="78">
        <f>'Grad 2'!$I$31</f>
        <v>0</v>
      </c>
      <c r="W30" s="78">
        <f>'Grad 2'!I49</f>
        <v>0</v>
      </c>
      <c r="X30" s="79" t="str">
        <f t="shared" si="13"/>
        <v xml:space="preserve"> </v>
      </c>
      <c r="Y30" s="247" t="str">
        <f t="shared" si="14"/>
        <v xml:space="preserve"> </v>
      </c>
      <c r="Z30" s="78">
        <f>'Grad 1'!Z30</f>
        <v>1.5</v>
      </c>
      <c r="AA30" s="92">
        <v>0</v>
      </c>
      <c r="AB30" s="78">
        <f>Z30</f>
        <v>1.5</v>
      </c>
      <c r="AC30" s="76" t="str">
        <f t="shared" si="12"/>
        <v>No</v>
      </c>
      <c r="AD30" s="14">
        <f t="shared" si="15"/>
        <v>0</v>
      </c>
      <c r="AE30" s="2" t="str">
        <f t="shared" si="16"/>
        <v>0-1.5</v>
      </c>
    </row>
    <row r="31" spans="1:31" ht="21" customHeight="1" thickBot="1">
      <c r="A31" s="230" t="s">
        <v>240</v>
      </c>
      <c r="B31" s="188"/>
      <c r="C31" s="37" t="s">
        <v>38</v>
      </c>
      <c r="D31" s="29"/>
      <c r="E31" s="29"/>
      <c r="F31" s="29"/>
      <c r="G31" s="183"/>
      <c r="H31" s="38" t="s">
        <v>17</v>
      </c>
      <c r="I31" s="180">
        <f>ROUND(IF(B34=0,0,SUM(B34/B30)*100),1)</f>
        <v>0</v>
      </c>
      <c r="J31" s="191" t="str">
        <f>IF('Proj Info'!B46=" "," ",'Proj Info'!B46)</f>
        <v/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S31" s="2"/>
      <c r="T31" s="81"/>
      <c r="U31" s="83"/>
      <c r="V31" s="83"/>
      <c r="W31" s="83"/>
      <c r="X31" s="82"/>
      <c r="Y31" s="82"/>
      <c r="Z31" s="87"/>
      <c r="AA31" s="83"/>
      <c r="AB31" s="83"/>
      <c r="AC31" s="71"/>
      <c r="AD31" s="14">
        <f>+SUM(AD19:AD30)</f>
        <v>0</v>
      </c>
      <c r="AE31" s="2" t="str">
        <f>IF(AD31=12,"Y","N")</f>
        <v>N</v>
      </c>
    </row>
    <row r="32" spans="1:31" ht="21" customHeight="1" thickTop="1">
      <c r="A32" s="33" t="s">
        <v>39</v>
      </c>
      <c r="B32" s="179"/>
      <c r="C32" s="37" t="s">
        <v>40</v>
      </c>
      <c r="D32" s="29"/>
      <c r="E32" s="29"/>
      <c r="F32" s="29"/>
      <c r="G32" s="176"/>
      <c r="H32" s="183"/>
      <c r="I32" s="183"/>
      <c r="J32" s="203"/>
      <c r="K32" s="14"/>
      <c r="L32" s="14"/>
      <c r="M32" s="14"/>
      <c r="N32" s="14"/>
      <c r="O32" s="14"/>
      <c r="P32" s="14"/>
      <c r="Q32" s="14"/>
      <c r="R32" s="14"/>
      <c r="S32" s="2"/>
      <c r="T32" s="2"/>
      <c r="U32" s="2"/>
      <c r="V32" s="2"/>
      <c r="W32" s="2"/>
      <c r="X32" s="2" t="s">
        <v>128</v>
      </c>
      <c r="Y32" s="263" t="str">
        <f>IF(B4="","",((100-Y19)+(Y19-Y20)+(Y20-Y21)+(Y21-Y22)+(Y22-Y23))/((100-Y19)+(Y19-Y20)+(Y20-Y21)+(Y21-Y22)+(Y22-Y23)+(Y23-Y24)+(Y24-Y25))*100)</f>
        <v/>
      </c>
      <c r="Z32" s="2"/>
      <c r="AA32" s="2"/>
      <c r="AB32" s="2"/>
      <c r="AC32" s="2"/>
      <c r="AD32" s="2"/>
      <c r="AE32" s="2"/>
    </row>
    <row r="33" spans="1:31" ht="21" customHeight="1">
      <c r="A33" s="33" t="s">
        <v>41</v>
      </c>
      <c r="B33" s="180">
        <f>IF(B31="",0,SUM(B30-B31))</f>
        <v>0</v>
      </c>
      <c r="C33" s="37" t="s">
        <v>42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S33" s="2"/>
      <c r="T33" s="2"/>
      <c r="U33" s="2"/>
      <c r="V33" s="2"/>
      <c r="W33" s="2"/>
      <c r="X33" s="2" t="s">
        <v>129</v>
      </c>
      <c r="Y33" s="263" t="str">
        <f>IF(Y25="","",Y25)</f>
        <v xml:space="preserve"> </v>
      </c>
      <c r="Z33" s="2"/>
      <c r="AA33" s="2"/>
      <c r="AB33" s="2"/>
      <c r="AC33" s="2"/>
      <c r="AD33" s="2"/>
      <c r="AE33" s="2"/>
    </row>
    <row r="34" spans="1:31" ht="21" customHeight="1">
      <c r="A34" s="33" t="s">
        <v>43</v>
      </c>
      <c r="B34" s="189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1" customHeight="1">
      <c r="A35" s="33" t="s">
        <v>241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21" customHeight="1">
      <c r="A38" s="232" t="s">
        <v>242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21" customHeight="1">
      <c r="A39" s="233" t="s">
        <v>243</v>
      </c>
      <c r="B39" s="179"/>
      <c r="C39" s="287" t="s">
        <v>45</v>
      </c>
      <c r="D39" s="288"/>
      <c r="E39" s="177">
        <f>ROUND(IF(D51=0,0,SUM(D51/B39)*100),1)</f>
        <v>0</v>
      </c>
      <c r="F39" s="31" t="s">
        <v>32</v>
      </c>
      <c r="G39" s="10" t="s">
        <v>46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21" customHeight="1">
      <c r="A40" s="233" t="s">
        <v>244</v>
      </c>
      <c r="B40" s="179"/>
      <c r="C40" s="29"/>
      <c r="D40" s="292" t="str">
        <f>IF(E39&lt;5,"",IF(E39&lt;99.5,"Check Weights.",IF(E39&gt;100.5,"Check Weights","")))</f>
        <v/>
      </c>
      <c r="E40" s="293"/>
      <c r="F40" s="35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21" customHeight="1">
      <c r="A41" s="33" t="s">
        <v>235</v>
      </c>
      <c r="B41" s="179"/>
      <c r="C41" s="29"/>
      <c r="D41" s="34"/>
      <c r="E41" s="35"/>
      <c r="F41" s="35"/>
      <c r="G41" s="180">
        <f>IF($M$52=100,$M41,IF($N$52=100,$N41,IF($O$52=100,$O41,IF($P$52=100,$P41,IF($Q$52=100,$Q41,IF($R$52=100,$R41,$R41))))))</f>
        <v>0.1</v>
      </c>
      <c r="H41" s="180">
        <f>IF(D51=0,0,100-G41)</f>
        <v>0</v>
      </c>
      <c r="I41" s="190">
        <f>IF(H41&gt;9.9,ROUND(H41,0),ROUND(H41,1))</f>
        <v>0</v>
      </c>
      <c r="J41" s="13"/>
      <c r="K41" s="14"/>
      <c r="L41" s="14"/>
      <c r="M41" s="22">
        <f>ROUND(IF(B41="",0,SUM(B41/$B$39)*100),1)</f>
        <v>0</v>
      </c>
      <c r="N41" s="19">
        <f>IF(M41=K42,L42,M41)</f>
        <v>0</v>
      </c>
      <c r="O41" s="23">
        <f>IF(N41=K$44,L$44,N41)</f>
        <v>0.1</v>
      </c>
      <c r="P41" s="23">
        <f>IF(O41=K$45,L$45,O41)</f>
        <v>0.1</v>
      </c>
      <c r="Q41" s="23">
        <f>IF(P41=K$46,L$46,P41)</f>
        <v>0.1</v>
      </c>
      <c r="R41" s="23">
        <f>IF(Q41=K$46,L$46,Q41)</f>
        <v>0.1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21" customHeight="1">
      <c r="A42" s="33" t="s">
        <v>236</v>
      </c>
      <c r="B42" s="179"/>
      <c r="C42" s="29"/>
      <c r="D42" s="29"/>
      <c r="E42" s="29"/>
      <c r="F42" s="29"/>
      <c r="G42" s="180">
        <f t="shared" ref="G42:G47" si="27">IF($M$52=100,$M42,IF($N$52=100,$N42,IF($O$52=100,$O42,IF($P$52=100,$P42,IF($Q$52=100,$Q42,IF($R$52=100,$R42,$R42))))))</f>
        <v>0.1</v>
      </c>
      <c r="H42" s="180">
        <f t="shared" ref="H42:H49" si="28">IF(H41=0,0,(H41-G42))</f>
        <v>0</v>
      </c>
      <c r="I42" s="190">
        <f t="shared" ref="I42:I49" si="29">IF(H42&gt;9.9,ROUND(H42,0),ROUND(H42,1))</f>
        <v>0</v>
      </c>
      <c r="J42" s="13" t="str">
        <f>IF('Proj Info'!B47=" "," ",'Proj Info'!B47)</f>
        <v/>
      </c>
      <c r="K42" s="14"/>
      <c r="L42" s="14"/>
      <c r="M42" s="22">
        <f t="shared" ref="M42:M49" si="30">ROUND(IF(B42="",0,SUM(B42/$B$39)*100),1)</f>
        <v>0</v>
      </c>
      <c r="N42" s="19">
        <f>IF(M42=K43,L43,M42)</f>
        <v>0.1</v>
      </c>
      <c r="O42" s="23">
        <f t="shared" ref="O42:O50" si="31">IF(N42=K$44,L$44,N42)</f>
        <v>0.1</v>
      </c>
      <c r="P42" s="23">
        <f t="shared" ref="P42:P50" si="32">IF(O42=K$45,L$45,O42)</f>
        <v>0.1</v>
      </c>
      <c r="Q42" s="23">
        <f t="shared" ref="Q42:Q50" si="33">IF(P42=K$46,L$46,P42)</f>
        <v>0.1</v>
      </c>
      <c r="R42" s="23">
        <f>IF(Q42=K$46,L$46,Q42)</f>
        <v>0.1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21" customHeight="1">
      <c r="A43" s="33" t="s">
        <v>237</v>
      </c>
      <c r="B43" s="179"/>
      <c r="C43" s="29"/>
      <c r="D43" s="29"/>
      <c r="E43" s="29"/>
      <c r="F43" s="29"/>
      <c r="G43" s="180">
        <f t="shared" si="27"/>
        <v>0.1</v>
      </c>
      <c r="H43" s="180">
        <f t="shared" si="28"/>
        <v>0</v>
      </c>
      <c r="I43" s="190">
        <f t="shared" si="29"/>
        <v>0</v>
      </c>
      <c r="J43" s="13" t="str">
        <f>IF('Proj Info'!B48=" "," ",'Proj Info'!B48)</f>
        <v/>
      </c>
      <c r="K43" s="17">
        <f>LARGE(M43:M47,1)</f>
        <v>0</v>
      </c>
      <c r="L43" s="17">
        <f>IF(M52&lt;100,(K43+0.1),IF(M52&gt;100,(K43-0.1),K43))</f>
        <v>0.1</v>
      </c>
      <c r="M43" s="22">
        <f t="shared" si="30"/>
        <v>0</v>
      </c>
      <c r="N43" s="19">
        <f t="shared" ref="N43:N50" si="34">IF(M43=$K$43,$L$43,M43)</f>
        <v>0.1</v>
      </c>
      <c r="O43" s="23">
        <f t="shared" si="31"/>
        <v>0.1</v>
      </c>
      <c r="P43" s="23">
        <f t="shared" si="32"/>
        <v>0.1</v>
      </c>
      <c r="Q43" s="23">
        <f t="shared" si="33"/>
        <v>0.1</v>
      </c>
      <c r="R43" s="23">
        <f t="shared" ref="R43:R50" si="35">IF(Q43=K$47,L$47,Q43)</f>
        <v>0.1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21" customHeight="1">
      <c r="A44" s="33" t="s">
        <v>238</v>
      </c>
      <c r="B44" s="179"/>
      <c r="C44" s="29"/>
      <c r="D44" s="29"/>
      <c r="E44" s="29"/>
      <c r="F44" s="29"/>
      <c r="G44" s="180">
        <f t="shared" si="27"/>
        <v>0.1</v>
      </c>
      <c r="H44" s="180">
        <f t="shared" si="28"/>
        <v>0</v>
      </c>
      <c r="I44" s="190">
        <f t="shared" si="29"/>
        <v>0</v>
      </c>
      <c r="J44" s="13" t="str">
        <f>IF('Proj Info'!B49=" "," ",'Proj Info'!B49)</f>
        <v/>
      </c>
      <c r="K44" s="17">
        <f>LARGE(M43:M47,2)</f>
        <v>0</v>
      </c>
      <c r="L44" s="17">
        <f>IF(N52&lt;100,(K44+0.1),IF(N52&gt;100,(K44-0.1),K44))</f>
        <v>0.1</v>
      </c>
      <c r="M44" s="22">
        <f t="shared" si="30"/>
        <v>0</v>
      </c>
      <c r="N44" s="19">
        <f t="shared" si="34"/>
        <v>0.1</v>
      </c>
      <c r="O44" s="23">
        <f t="shared" si="31"/>
        <v>0.1</v>
      </c>
      <c r="P44" s="23">
        <f t="shared" si="32"/>
        <v>0.1</v>
      </c>
      <c r="Q44" s="23">
        <f t="shared" si="33"/>
        <v>0.1</v>
      </c>
      <c r="R44" s="23">
        <f t="shared" si="35"/>
        <v>0.1</v>
      </c>
    </row>
    <row r="45" spans="1:31" ht="21" customHeight="1">
      <c r="A45" s="33" t="s">
        <v>245</v>
      </c>
      <c r="B45" s="179"/>
      <c r="C45" s="29"/>
      <c r="D45" s="29"/>
      <c r="E45" s="29"/>
      <c r="F45" s="29"/>
      <c r="G45" s="180">
        <f t="shared" si="27"/>
        <v>0.1</v>
      </c>
      <c r="H45" s="180">
        <f t="shared" si="28"/>
        <v>0</v>
      </c>
      <c r="I45" s="190">
        <f t="shared" si="29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30"/>
        <v>0</v>
      </c>
      <c r="N45" s="19">
        <f t="shared" si="34"/>
        <v>0.1</v>
      </c>
      <c r="O45" s="23">
        <f t="shared" si="31"/>
        <v>0.1</v>
      </c>
      <c r="P45" s="23">
        <f t="shared" si="32"/>
        <v>0.1</v>
      </c>
      <c r="Q45" s="23">
        <f t="shared" si="33"/>
        <v>0.1</v>
      </c>
      <c r="R45" s="23">
        <f t="shared" si="35"/>
        <v>0.1</v>
      </c>
    </row>
    <row r="46" spans="1:31" ht="21" customHeight="1">
      <c r="A46" s="33" t="s">
        <v>246</v>
      </c>
      <c r="B46" s="179"/>
      <c r="C46" s="29"/>
      <c r="D46" s="29"/>
      <c r="E46" s="29"/>
      <c r="F46" s="29"/>
      <c r="G46" s="180">
        <f t="shared" si="27"/>
        <v>0.1</v>
      </c>
      <c r="H46" s="180">
        <f t="shared" si="28"/>
        <v>0</v>
      </c>
      <c r="I46" s="190">
        <f t="shared" si="29"/>
        <v>0</v>
      </c>
      <c r="J46" s="13" t="str">
        <f>IF('Proj Info'!B50=" "," ",'Proj Info'!B50)</f>
        <v/>
      </c>
      <c r="K46" s="17">
        <f>LARGE(M43:M47,4)</f>
        <v>0</v>
      </c>
      <c r="L46" s="17">
        <f>IF(P52&gt;100,K46-0.1,IF(P52&lt;100,K46+0.1,K46))</f>
        <v>0.1</v>
      </c>
      <c r="M46" s="22">
        <f t="shared" si="30"/>
        <v>0</v>
      </c>
      <c r="N46" s="19">
        <f t="shared" si="34"/>
        <v>0.1</v>
      </c>
      <c r="O46" s="23">
        <f t="shared" si="31"/>
        <v>0.1</v>
      </c>
      <c r="P46" s="23">
        <f t="shared" si="32"/>
        <v>0.1</v>
      </c>
      <c r="Q46" s="23">
        <f t="shared" si="33"/>
        <v>0.1</v>
      </c>
      <c r="R46" s="23">
        <f t="shared" si="35"/>
        <v>0.1</v>
      </c>
    </row>
    <row r="47" spans="1:31" ht="21" customHeight="1">
      <c r="A47" s="33" t="s">
        <v>247</v>
      </c>
      <c r="B47" s="179"/>
      <c r="C47" s="29"/>
      <c r="D47" s="29"/>
      <c r="E47" s="29"/>
      <c r="F47" s="29"/>
      <c r="G47" s="180">
        <f t="shared" si="27"/>
        <v>0.1</v>
      </c>
      <c r="H47" s="180">
        <f t="shared" si="28"/>
        <v>0</v>
      </c>
      <c r="I47" s="190">
        <f t="shared" si="29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30"/>
        <v>0</v>
      </c>
      <c r="N47" s="19">
        <f t="shared" si="34"/>
        <v>0.1</v>
      </c>
      <c r="O47" s="23">
        <f t="shared" si="31"/>
        <v>0.1</v>
      </c>
      <c r="P47" s="23">
        <f t="shared" si="32"/>
        <v>0.1</v>
      </c>
      <c r="Q47" s="23">
        <f t="shared" si="33"/>
        <v>0.1</v>
      </c>
      <c r="R47" s="23">
        <f t="shared" si="35"/>
        <v>0.1</v>
      </c>
    </row>
    <row r="48" spans="1:31" ht="21" customHeight="1">
      <c r="A48" s="33" t="s">
        <v>248</v>
      </c>
      <c r="B48" s="179"/>
      <c r="C48" s="29"/>
      <c r="D48" s="29"/>
      <c r="E48" s="29"/>
      <c r="F48" s="29"/>
      <c r="G48" s="180">
        <f>IF($M$52=100,$M48,IF($N$52=100,$N48,IF($O$52=100,$O48,IF($P$52=100,$P48,IF($Q$52=100,$Q48,IF($R$52=100,$R48,$R48))))))</f>
        <v>0.1</v>
      </c>
      <c r="H48" s="180">
        <f t="shared" si="28"/>
        <v>0</v>
      </c>
      <c r="I48" s="190">
        <f t="shared" si="29"/>
        <v>0</v>
      </c>
      <c r="J48" s="20"/>
      <c r="K48" s="17"/>
      <c r="L48" s="17"/>
      <c r="M48" s="22">
        <f t="shared" si="30"/>
        <v>0</v>
      </c>
      <c r="N48" s="19">
        <f t="shared" si="34"/>
        <v>0.1</v>
      </c>
      <c r="O48" s="23">
        <f t="shared" si="31"/>
        <v>0.1</v>
      </c>
      <c r="P48" s="23">
        <f t="shared" si="32"/>
        <v>0.1</v>
      </c>
      <c r="Q48" s="23">
        <f t="shared" si="33"/>
        <v>0.1</v>
      </c>
      <c r="R48" s="23">
        <f t="shared" si="35"/>
        <v>0.1</v>
      </c>
    </row>
    <row r="49" spans="1:18" ht="21" customHeight="1">
      <c r="A49" s="33" t="s">
        <v>249</v>
      </c>
      <c r="B49" s="179"/>
      <c r="C49" s="29"/>
      <c r="D49" s="29"/>
      <c r="E49" s="29"/>
      <c r="F49" s="29"/>
      <c r="G49" s="180">
        <f>IF($M$52=100,$M49,IF($N$52=100,$N49,IF($O$52=100,$O49,IF($P$52=100,$P49,IF($Q$52=100,$Q49,IF($R$52=100,$R49,$R49))))))</f>
        <v>0.1</v>
      </c>
      <c r="H49" s="180">
        <f t="shared" si="28"/>
        <v>0</v>
      </c>
      <c r="I49" s="190">
        <f t="shared" si="29"/>
        <v>0</v>
      </c>
      <c r="J49" s="13" t="str">
        <f>IF('Proj Info'!B51=" "," ",'Proj Info'!B51)</f>
        <v/>
      </c>
      <c r="K49" s="17"/>
      <c r="L49" s="17"/>
      <c r="M49" s="22">
        <f t="shared" si="30"/>
        <v>0</v>
      </c>
      <c r="N49" s="19">
        <f t="shared" si="34"/>
        <v>0.1</v>
      </c>
      <c r="O49" s="23">
        <f t="shared" si="31"/>
        <v>0.1</v>
      </c>
      <c r="P49" s="23">
        <f t="shared" si="32"/>
        <v>0.1</v>
      </c>
      <c r="Q49" s="23">
        <f t="shared" si="33"/>
        <v>0.1</v>
      </c>
      <c r="R49" s="23">
        <f t="shared" si="35"/>
        <v>0.1</v>
      </c>
    </row>
    <row r="50" spans="1:18" ht="21" customHeight="1" thickBot="1">
      <c r="A50" s="33" t="s">
        <v>47</v>
      </c>
      <c r="B50" s="179"/>
      <c r="C50" s="29"/>
      <c r="D50" s="36" t="s">
        <v>27</v>
      </c>
      <c r="E50" s="29"/>
      <c r="F50" s="29"/>
      <c r="G50" s="180">
        <f>IF($M$52=100,$M50,IF($N$52=100,$N50,IF($O$52=100,$O50,IF($P$52=100,$P50,IF($Q$52=100,$Q50,IF($R$52=100,$R50,$R50))))))</f>
        <v>0.1</v>
      </c>
      <c r="H50" s="176"/>
      <c r="I50" s="176"/>
      <c r="J50" s="176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1"/>
        <v>0.1</v>
      </c>
      <c r="P50" s="23">
        <f t="shared" si="32"/>
        <v>0.1</v>
      </c>
      <c r="Q50" s="23">
        <f t="shared" si="33"/>
        <v>0.1</v>
      </c>
      <c r="R50" s="23">
        <f t="shared" si="35"/>
        <v>0.1</v>
      </c>
    </row>
    <row r="51" spans="1:18" ht="21" customHeight="1" thickBot="1">
      <c r="A51" s="33" t="s">
        <v>48</v>
      </c>
      <c r="B51" s="180">
        <f>IF(B40="",0,SUM(B39-B40))</f>
        <v>0</v>
      </c>
      <c r="C51" s="29"/>
      <c r="D51" s="178">
        <f>IF(B50="",0,SUM(B41:B51))</f>
        <v>0</v>
      </c>
      <c r="E51" s="29"/>
      <c r="F51" s="29"/>
      <c r="G51" s="180">
        <f>IF(G50="",0,SUM(G41:G50))</f>
        <v>0.99999999999999989</v>
      </c>
      <c r="H51" s="176"/>
      <c r="I51" s="176"/>
      <c r="J51" s="176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147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w0tA857ZktDsAAl33lWW4TPDwWbwp3XaWQIR3cbpsTeS7Z520mW72aEmvy7Q3pe4UN5spQqetqwskINqFCLALw==" saltValue="+Inju+kGL4HbUhI/0pKPag==" spinCount="100000" sheet="1"/>
  <mergeCells count="6">
    <mergeCell ref="C39:D39"/>
    <mergeCell ref="D40:E40"/>
    <mergeCell ref="C4:D4"/>
    <mergeCell ref="C21:D21"/>
    <mergeCell ref="D5:E5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52"/>
  <sheetViews>
    <sheetView defaultGridColor="0" view="pageBreakPreview" topLeftCell="A16" colorId="22" zoomScale="75" zoomScaleNormal="60" workbookViewId="0">
      <pane xSplit="1" topLeftCell="B1" activePane="topRight" state="frozen"/>
      <selection pane="topRight" activeCell="A35" sqref="A35:B35"/>
    </sheetView>
  </sheetViews>
  <sheetFormatPr defaultColWidth="9.77734375" defaultRowHeight="15"/>
  <cols>
    <col min="1" max="1" width="20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31" ht="21" customHeight="1">
      <c r="A1" s="44" t="s">
        <v>251</v>
      </c>
      <c r="B1" s="23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1" customHeight="1">
      <c r="A2" s="44" t="s">
        <v>145</v>
      </c>
      <c r="B2" t="str">
        <f>IF('Proj Info'!B4="","",'Proj Info'!B4)</f>
        <v/>
      </c>
      <c r="S2" s="2"/>
      <c r="T2" s="45"/>
      <c r="U2" s="45"/>
      <c r="V2" s="45"/>
      <c r="W2" s="45"/>
      <c r="X2" s="46"/>
      <c r="Y2" s="46"/>
      <c r="Z2" s="45"/>
      <c r="AA2" s="2"/>
      <c r="AB2" s="2"/>
      <c r="AC2" s="2"/>
      <c r="AD2" s="2"/>
      <c r="AE2" s="2"/>
    </row>
    <row r="3" spans="1:31" ht="21" customHeight="1">
      <c r="A3" s="25" t="s">
        <v>146</v>
      </c>
      <c r="B3" s="205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S3" s="2"/>
      <c r="T3" s="2"/>
      <c r="U3" s="45"/>
      <c r="V3" s="45"/>
      <c r="W3" s="45"/>
      <c r="X3" s="46"/>
      <c r="Y3" s="46"/>
      <c r="Z3" s="45"/>
      <c r="AA3" s="2"/>
      <c r="AB3" s="2"/>
      <c r="AC3" s="2"/>
      <c r="AD3" s="2"/>
      <c r="AE3" s="2"/>
    </row>
    <row r="4" spans="1:31" ht="21" customHeight="1" thickBot="1">
      <c r="A4" s="202" t="s">
        <v>144</v>
      </c>
      <c r="B4" s="185"/>
      <c r="C4" s="287" t="s">
        <v>31</v>
      </c>
      <c r="D4" s="291"/>
      <c r="E4" s="177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S4" s="2"/>
      <c r="T4" s="47" t="s">
        <v>131</v>
      </c>
      <c r="U4" s="45"/>
      <c r="V4" s="45"/>
      <c r="W4" s="45"/>
      <c r="X4" s="2"/>
      <c r="Y4" s="48" t="s">
        <v>73</v>
      </c>
      <c r="Z4" s="45"/>
      <c r="AA4" s="2"/>
      <c r="AB4" s="2"/>
      <c r="AC4" s="2"/>
      <c r="AD4" s="2"/>
      <c r="AE4" s="2"/>
    </row>
    <row r="5" spans="1:31" ht="21" customHeight="1" thickTop="1">
      <c r="A5" s="33" t="s">
        <v>232</v>
      </c>
      <c r="B5" s="186"/>
      <c r="C5" s="29"/>
      <c r="D5" s="292" t="str">
        <f>IF(E4&lt;5,"",IF(E4&lt;99.5,"Check Weights.",IF(E4&gt;100.5,"Check Weights","")))</f>
        <v/>
      </c>
      <c r="E5" s="293"/>
      <c r="F5" s="35"/>
      <c r="G5" s="181">
        <f t="shared" ref="G5:G12" si="0">IF($M$14=100,$M5,IF($N$14=100,$N5,IF($O$14=100,$O5,IF($P$14=100,$P5,IF($Q$14=100,$Q5,IF($R$14=100,$R5,$R5))))))</f>
        <v>0.1</v>
      </c>
      <c r="H5" s="181">
        <f>IF(D12=0,0,100)</f>
        <v>0</v>
      </c>
      <c r="I5" s="182">
        <f t="shared" ref="I5:I11" si="1">IF(H5&gt;9.9,ROUND(H5,0),ROUND(H5,1))</f>
        <v>0</v>
      </c>
      <c r="J5" s="13" t="str">
        <f>IF('Proj Info'!B33=" "," ",'Proj Info'!B33)</f>
        <v/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S5" s="2"/>
      <c r="T5" s="49" t="s">
        <v>74</v>
      </c>
      <c r="U5" s="50"/>
      <c r="V5" s="50"/>
      <c r="W5" s="51"/>
      <c r="X5" s="257"/>
      <c r="Y5" s="257">
        <f>'Mix Info'!D18</f>
        <v>0</v>
      </c>
      <c r="Z5" s="52" t="e">
        <f>Y5/(SUM($Y$5:$Y$7))</f>
        <v>#DIV/0!</v>
      </c>
      <c r="AA5" s="2"/>
      <c r="AB5" s="2"/>
      <c r="AC5" s="2"/>
      <c r="AD5" s="2"/>
      <c r="AE5" s="2"/>
    </row>
    <row r="6" spans="1:31" ht="21" customHeight="1">
      <c r="A6" s="33" t="s">
        <v>233</v>
      </c>
      <c r="B6" s="186"/>
      <c r="C6" s="29"/>
      <c r="D6" s="31"/>
      <c r="E6" s="29"/>
      <c r="F6" s="29"/>
      <c r="G6" s="181">
        <f t="shared" si="0"/>
        <v>0.1</v>
      </c>
      <c r="H6" s="181">
        <f t="shared" ref="H6:H11" si="8">IF(H5=0,0,(H5-G6))</f>
        <v>0</v>
      </c>
      <c r="I6" s="182">
        <f t="shared" si="1"/>
        <v>0</v>
      </c>
      <c r="J6" s="13" t="str">
        <f>IF('Proj Info'!B34=" "," ",'Proj Info'!B34)</f>
        <v/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S6" s="2"/>
      <c r="T6" s="53" t="s">
        <v>75</v>
      </c>
      <c r="U6" s="54"/>
      <c r="V6" s="54"/>
      <c r="W6" s="55"/>
      <c r="X6" s="258"/>
      <c r="Y6" s="259">
        <f>'Mix Info'!D19</f>
        <v>0</v>
      </c>
      <c r="Z6" s="56" t="e">
        <f>Y6/(SUM($Y$5:$Y$7))</f>
        <v>#DIV/0!</v>
      </c>
      <c r="AA6" s="2"/>
      <c r="AB6" s="2"/>
      <c r="AC6" s="2"/>
      <c r="AD6" s="2"/>
      <c r="AE6" s="2"/>
    </row>
    <row r="7" spans="1:31" ht="21" customHeight="1" thickBot="1">
      <c r="A7" s="33" t="s">
        <v>234</v>
      </c>
      <c r="B7" s="186"/>
      <c r="C7" s="29"/>
      <c r="D7" s="29"/>
      <c r="E7" s="29"/>
      <c r="F7" s="29"/>
      <c r="G7" s="181">
        <f t="shared" si="0"/>
        <v>0.1</v>
      </c>
      <c r="H7" s="181">
        <f t="shared" si="8"/>
        <v>0</v>
      </c>
      <c r="I7" s="182">
        <f t="shared" si="1"/>
        <v>0</v>
      </c>
      <c r="J7" s="13" t="str">
        <f>IF('Proj Info'!B35=" "," ",'Proj Info'!B35)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S7" s="2"/>
      <c r="T7" s="57" t="s">
        <v>76</v>
      </c>
      <c r="U7" s="58"/>
      <c r="V7" s="58"/>
      <c r="W7" s="59"/>
      <c r="X7" s="260"/>
      <c r="Y7" s="261">
        <f>'Mix Info'!D20</f>
        <v>0</v>
      </c>
      <c r="Z7" s="60" t="e">
        <f>Y7/(SUM($Y$5:Y$7))</f>
        <v>#DIV/0!</v>
      </c>
      <c r="AA7" s="2"/>
      <c r="AB7" s="2"/>
      <c r="AC7" s="2"/>
      <c r="AD7" s="2"/>
      <c r="AE7" s="2"/>
    </row>
    <row r="8" spans="1:31" ht="21" customHeight="1" thickTop="1">
      <c r="A8" s="33" t="s">
        <v>235</v>
      </c>
      <c r="B8" s="186"/>
      <c r="C8" s="29"/>
      <c r="D8" s="29"/>
      <c r="E8" s="29"/>
      <c r="F8" s="29"/>
      <c r="G8" s="181">
        <f t="shared" si="0"/>
        <v>0.1</v>
      </c>
      <c r="H8" s="181">
        <f t="shared" si="8"/>
        <v>0</v>
      </c>
      <c r="I8" s="182">
        <f t="shared" si="1"/>
        <v>0</v>
      </c>
      <c r="J8" s="13" t="str">
        <f>IF('Proj Info'!B36=" "," ",'Proj Info'!B36)</f>
        <v/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1" customHeight="1">
      <c r="A9" s="33" t="s">
        <v>236</v>
      </c>
      <c r="B9" s="186"/>
      <c r="C9" s="29"/>
      <c r="D9" s="29"/>
      <c r="E9" s="29"/>
      <c r="F9" s="29"/>
      <c r="G9" s="181">
        <f t="shared" si="0"/>
        <v>0.1</v>
      </c>
      <c r="H9" s="181">
        <f t="shared" si="8"/>
        <v>0</v>
      </c>
      <c r="I9" s="182">
        <f t="shared" si="1"/>
        <v>0</v>
      </c>
      <c r="J9" s="13" t="str">
        <f>IF('Proj Info'!B37=" "," ",'Proj Info'!B37)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1" customHeight="1">
      <c r="A10" s="33" t="s">
        <v>237</v>
      </c>
      <c r="B10" s="186"/>
      <c r="C10" s="29"/>
      <c r="D10" s="29"/>
      <c r="E10" s="29"/>
      <c r="F10" s="29"/>
      <c r="G10" s="181">
        <f t="shared" si="0"/>
        <v>0.1</v>
      </c>
      <c r="H10" s="181">
        <f t="shared" si="8"/>
        <v>0</v>
      </c>
      <c r="I10" s="182">
        <f t="shared" si="1"/>
        <v>0</v>
      </c>
      <c r="J10" s="13" t="str">
        <f>IF('Proj Info'!B38=" "," ",'Proj Info'!B38)</f>
        <v/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1" customHeight="1" thickBot="1">
      <c r="A11" s="33" t="s">
        <v>238</v>
      </c>
      <c r="B11" s="186"/>
      <c r="C11" s="29"/>
      <c r="D11" s="36" t="s">
        <v>27</v>
      </c>
      <c r="E11" s="29"/>
      <c r="F11" s="29"/>
      <c r="G11" s="181">
        <f t="shared" si="0"/>
        <v>0.1</v>
      </c>
      <c r="H11" s="181">
        <f t="shared" si="8"/>
        <v>0</v>
      </c>
      <c r="I11" s="182">
        <f t="shared" si="1"/>
        <v>0</v>
      </c>
      <c r="J11" s="13" t="str">
        <f>IF('Proj Info'!B39=" "," ",'Proj Info'!B39)</f>
        <v/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1" customHeight="1" thickBot="1">
      <c r="A12" s="33" t="s">
        <v>39</v>
      </c>
      <c r="B12" s="179"/>
      <c r="C12" s="29"/>
      <c r="D12" s="184">
        <f>IF(B12="",0,SUM(B5:B12))</f>
        <v>0</v>
      </c>
      <c r="E12" s="29"/>
      <c r="F12" s="29"/>
      <c r="G12" s="181">
        <f t="shared" si="0"/>
        <v>0.1</v>
      </c>
      <c r="H12" s="37"/>
      <c r="I12" s="37"/>
      <c r="J12" s="203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S12" s="2"/>
      <c r="T12" s="47" t="s">
        <v>90</v>
      </c>
      <c r="U12" s="45"/>
      <c r="V12" s="45"/>
      <c r="W12" s="45"/>
      <c r="X12" s="48"/>
      <c r="Y12" s="48"/>
      <c r="Z12" s="45"/>
      <c r="AA12" s="84"/>
      <c r="AB12" s="84"/>
      <c r="AC12" s="85"/>
      <c r="AD12" s="2"/>
      <c r="AE12" s="2"/>
    </row>
    <row r="13" spans="1:31" ht="21" customHeight="1" thickBot="1">
      <c r="A13" s="229" t="s">
        <v>239</v>
      </c>
      <c r="B13" s="187"/>
      <c r="C13" s="37" t="s">
        <v>37</v>
      </c>
      <c r="D13" s="29"/>
      <c r="E13" s="29"/>
      <c r="F13" s="29"/>
      <c r="G13" s="181">
        <f>SUM(G5:G12)</f>
        <v>0.79999999999999993</v>
      </c>
      <c r="H13" s="183"/>
      <c r="I13" s="183"/>
      <c r="J13" s="203"/>
      <c r="K13" s="14"/>
      <c r="L13" s="14"/>
      <c r="M13" s="16"/>
      <c r="N13" s="17"/>
      <c r="O13" s="19"/>
      <c r="P13" s="19"/>
      <c r="Q13" s="19"/>
      <c r="R13" s="19"/>
      <c r="S13" s="2"/>
      <c r="T13" s="2"/>
      <c r="U13" s="61"/>
      <c r="V13" s="61"/>
      <c r="W13" s="61"/>
      <c r="X13" s="86"/>
      <c r="Y13" s="86"/>
      <c r="Z13" s="61"/>
      <c r="AA13" s="61"/>
      <c r="AB13" s="61"/>
      <c r="AC13" s="2"/>
      <c r="AD13" s="2"/>
      <c r="AE13" s="2"/>
    </row>
    <row r="14" spans="1:31" ht="21" customHeight="1" thickTop="1">
      <c r="A14" s="230" t="s">
        <v>240</v>
      </c>
      <c r="B14" s="188"/>
      <c r="C14" s="37" t="s">
        <v>38</v>
      </c>
      <c r="D14" s="29"/>
      <c r="E14" s="29"/>
      <c r="F14" s="29"/>
      <c r="G14" s="183"/>
      <c r="H14" s="38" t="s">
        <v>17</v>
      </c>
      <c r="I14" s="180">
        <f>ROUND(IF(B17=0,0,SUM(B17/B13)*100),1)</f>
        <v>0</v>
      </c>
      <c r="J14" s="13" t="str">
        <f>IF('Proj Info'!B40=" "," ",'Proj Info'!B40)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S14" s="2"/>
      <c r="T14" s="62"/>
      <c r="U14" s="63" t="s">
        <v>13</v>
      </c>
      <c r="V14" s="63" t="s">
        <v>14</v>
      </c>
      <c r="W14" s="63" t="s">
        <v>15</v>
      </c>
      <c r="X14" s="63"/>
      <c r="Y14" s="63" t="s">
        <v>77</v>
      </c>
      <c r="Z14" s="63" t="s">
        <v>78</v>
      </c>
      <c r="AA14" s="63" t="s">
        <v>78</v>
      </c>
      <c r="AB14" s="63" t="s">
        <v>78</v>
      </c>
      <c r="AC14" s="64"/>
      <c r="AD14" s="2"/>
      <c r="AE14" s="2"/>
    </row>
    <row r="15" spans="1:31" ht="21" customHeight="1">
      <c r="A15" s="33" t="s">
        <v>39</v>
      </c>
      <c r="B15" s="179"/>
      <c r="C15" s="37" t="s">
        <v>40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S15" s="2"/>
      <c r="T15" s="65" t="s">
        <v>79</v>
      </c>
      <c r="U15" s="66" t="s">
        <v>16</v>
      </c>
      <c r="V15" s="66" t="s">
        <v>16</v>
      </c>
      <c r="W15" s="66" t="s">
        <v>16</v>
      </c>
      <c r="X15" s="66"/>
      <c r="Y15" s="66" t="s">
        <v>80</v>
      </c>
      <c r="Z15" s="66" t="s">
        <v>81</v>
      </c>
      <c r="AA15" s="66" t="s">
        <v>82</v>
      </c>
      <c r="AB15" s="66" t="s">
        <v>83</v>
      </c>
      <c r="AC15" s="67" t="s">
        <v>84</v>
      </c>
      <c r="AD15" s="2"/>
      <c r="AE15" s="2"/>
    </row>
    <row r="16" spans="1:31" ht="21" customHeight="1">
      <c r="A16" s="33" t="s">
        <v>41</v>
      </c>
      <c r="B16" s="180">
        <f>IF(B14="",0,SUM(B13-B14))</f>
        <v>0</v>
      </c>
      <c r="C16" s="37" t="s">
        <v>42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S16" s="2"/>
      <c r="T16" s="65" t="s">
        <v>85</v>
      </c>
      <c r="U16" s="66" t="s">
        <v>71</v>
      </c>
      <c r="V16" s="66" t="s">
        <v>71</v>
      </c>
      <c r="W16" s="66" t="s">
        <v>71</v>
      </c>
      <c r="X16" s="66"/>
      <c r="Y16" s="66" t="s">
        <v>86</v>
      </c>
      <c r="Z16" s="66" t="s">
        <v>86</v>
      </c>
      <c r="AA16" s="66" t="s">
        <v>86</v>
      </c>
      <c r="AB16" s="66" t="s">
        <v>86</v>
      </c>
      <c r="AC16" s="68" t="s">
        <v>81</v>
      </c>
      <c r="AD16" s="2"/>
      <c r="AE16" s="2"/>
    </row>
    <row r="17" spans="1:31" ht="21" customHeight="1" thickBot="1">
      <c r="A17" s="33" t="s">
        <v>43</v>
      </c>
      <c r="B17" s="189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S17" s="2"/>
      <c r="T17" s="69"/>
      <c r="U17" s="70" t="s">
        <v>87</v>
      </c>
      <c r="V17" s="70" t="s">
        <v>87</v>
      </c>
      <c r="W17" s="70" t="s">
        <v>87</v>
      </c>
      <c r="X17" s="70"/>
      <c r="Y17" s="70" t="s">
        <v>87</v>
      </c>
      <c r="Z17" s="70" t="s">
        <v>87</v>
      </c>
      <c r="AA17" s="70" t="s">
        <v>87</v>
      </c>
      <c r="AB17" s="70" t="s">
        <v>87</v>
      </c>
      <c r="AC17" s="71"/>
      <c r="AD17" s="2"/>
      <c r="AE17" s="2"/>
    </row>
    <row r="18" spans="1:31" ht="21" customHeight="1" thickTop="1">
      <c r="A18" s="33" t="s">
        <v>241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S18" s="2"/>
      <c r="T18" s="72"/>
      <c r="U18" s="73"/>
      <c r="V18" s="73"/>
      <c r="W18" s="73"/>
      <c r="X18" s="74"/>
      <c r="Y18" s="74"/>
      <c r="Z18" s="75"/>
      <c r="AA18" s="55"/>
      <c r="AB18" s="55"/>
      <c r="AC18" s="76"/>
      <c r="AD18" s="2"/>
      <c r="AE18" s="2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S19" s="2"/>
      <c r="T19" s="77" t="s">
        <v>88</v>
      </c>
      <c r="U19" s="78">
        <f>'Grad 3'!I5</f>
        <v>0</v>
      </c>
      <c r="V19" s="78">
        <f>'Grad 3'!I22</f>
        <v>0</v>
      </c>
      <c r="W19" s="78">
        <v>100</v>
      </c>
      <c r="X19" s="79" t="str">
        <f>IF($B$4=0," ",IF($B$20=" ",U19*$Z$5+W19*$Z$7,U19*$Z$5+V19*$Z$6+W19*Z$7))</f>
        <v xml:space="preserve"> </v>
      </c>
      <c r="Y19" s="247" t="str">
        <f>X19</f>
        <v xml:space="preserve"> </v>
      </c>
      <c r="Z19" s="78">
        <f>'Grad 1'!Z19</f>
        <v>100</v>
      </c>
      <c r="AA19" s="92">
        <f t="shared" ref="AA19:AA24" si="10">IF((Z19-5)&gt;0,Z19-5,0)</f>
        <v>95</v>
      </c>
      <c r="AB19" s="92">
        <f t="shared" ref="AB19:AB24" si="11">IF(Z19+5&gt;100,100,Z19+5)</f>
        <v>100</v>
      </c>
      <c r="AC19" s="76" t="str">
        <f t="shared" ref="AC19:AC30" si="12">IF(AND(AA19&lt;=X19,X19&lt;=AB19),"Yes","No")</f>
        <v>No</v>
      </c>
      <c r="AD19" s="14">
        <f>IF(AC19="YES",1,0)</f>
        <v>0</v>
      </c>
      <c r="AE19" s="2" t="str">
        <f>CONCATENATE(AA19,"-",AB19)</f>
        <v>95-100</v>
      </c>
    </row>
    <row r="20" spans="1:31" ht="21" customHeight="1">
      <c r="A20" s="25" t="s">
        <v>242</v>
      </c>
      <c r="B20" s="205"/>
      <c r="C20" s="27"/>
      <c r="D20" s="28"/>
      <c r="E20" s="29"/>
      <c r="F20" s="29"/>
      <c r="G20" s="10" t="s">
        <v>44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S20" s="2"/>
      <c r="T20" s="77" t="s">
        <v>59</v>
      </c>
      <c r="U20" s="78">
        <f>'Grad 3'!I6</f>
        <v>0</v>
      </c>
      <c r="V20" s="78">
        <f>'Grad 3'!I23</f>
        <v>0</v>
      </c>
      <c r="W20" s="78">
        <v>100</v>
      </c>
      <c r="X20" s="79" t="str">
        <f t="shared" ref="X20:X30" si="13">IF($B$4=0," ",IF($B$20=" ",U20*$Z$5+W20*$Z$7,U20*$Z$5+V20*$Z$6+W20*Z$7))</f>
        <v xml:space="preserve"> </v>
      </c>
      <c r="Y20" s="247" t="str">
        <f t="shared" ref="Y20:Y30" si="14">X20</f>
        <v xml:space="preserve"> </v>
      </c>
      <c r="Z20" s="78">
        <f>'Grad 1'!Z20</f>
        <v>0</v>
      </c>
      <c r="AA20" s="92">
        <f t="shared" si="10"/>
        <v>0</v>
      </c>
      <c r="AB20" s="92">
        <f t="shared" si="11"/>
        <v>5</v>
      </c>
      <c r="AC20" s="76" t="str">
        <f t="shared" si="12"/>
        <v>No</v>
      </c>
      <c r="AD20" s="14">
        <f t="shared" ref="AD20:AD30" si="15">IF(AC20="YES",1,0)</f>
        <v>0</v>
      </c>
      <c r="AE20" s="2" t="str">
        <f t="shared" ref="AE20:AE30" si="16">CONCATENATE(AA20,"-",AB20)</f>
        <v>0-5</v>
      </c>
    </row>
    <row r="21" spans="1:31" ht="21" customHeight="1" thickBot="1">
      <c r="A21" s="231" t="s">
        <v>239</v>
      </c>
      <c r="B21" s="185"/>
      <c r="C21" s="287" t="s">
        <v>31</v>
      </c>
      <c r="D21" s="291"/>
      <c r="E21" s="177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S21" s="2"/>
      <c r="T21" s="77" t="s">
        <v>60</v>
      </c>
      <c r="U21" s="78">
        <f>'Grad 3'!I7</f>
        <v>0</v>
      </c>
      <c r="V21" s="78">
        <f>'Grad 3'!I24</f>
        <v>0</v>
      </c>
      <c r="W21" s="78">
        <v>100</v>
      </c>
      <c r="X21" s="79" t="str">
        <f t="shared" si="13"/>
        <v xml:space="preserve"> </v>
      </c>
      <c r="Y21" s="247" t="str">
        <f t="shared" si="14"/>
        <v xml:space="preserve"> </v>
      </c>
      <c r="Z21" s="78">
        <f>'Grad 1'!Z21</f>
        <v>0</v>
      </c>
      <c r="AA21" s="92">
        <f t="shared" si="10"/>
        <v>0</v>
      </c>
      <c r="AB21" s="92">
        <f t="shared" si="11"/>
        <v>5</v>
      </c>
      <c r="AC21" s="76" t="str">
        <f t="shared" si="12"/>
        <v>No</v>
      </c>
      <c r="AD21" s="14">
        <f t="shared" si="15"/>
        <v>0</v>
      </c>
      <c r="AE21" s="2" t="str">
        <f t="shared" si="16"/>
        <v>0-5</v>
      </c>
    </row>
    <row r="22" spans="1:31" ht="21" customHeight="1">
      <c r="A22" s="33" t="s">
        <v>232</v>
      </c>
      <c r="B22" s="186"/>
      <c r="C22" s="29"/>
      <c r="D22" s="292" t="str">
        <f>IF(E21&lt;5,"",IF(E21&lt;99.5,"Check Weights.",IF(E21&gt;100.5,"Check Weights","")))</f>
        <v/>
      </c>
      <c r="E22" s="293"/>
      <c r="F22" s="35"/>
      <c r="G22" s="181">
        <f>IF($M$22=100,$M22,IF($N$22=100,$N22,IF($O$22=100,$O22,IF($P$22=100,$P22,IF($Q$22=100,$Q22,IF($R$22=100,$R22,$R22))))))</f>
        <v>0.1</v>
      </c>
      <c r="H22" s="181">
        <f>IF(D29=0,0,100)</f>
        <v>0</v>
      </c>
      <c r="I22" s="182">
        <f t="shared" ref="I22:I28" si="17">IF(H22&gt;9.9,ROUND(H22,0),ROUND(H22,1))</f>
        <v>0</v>
      </c>
      <c r="J22" s="191"/>
      <c r="K22" s="17">
        <f>LARGE(M22:M29,1)</f>
        <v>0</v>
      </c>
      <c r="L22" s="17">
        <f>IF(M31&lt;100,(K22+0.1),IF(M31&gt;100,(K22-0.1),K22))</f>
        <v>0.1</v>
      </c>
      <c r="M22" s="18">
        <f>ROUND(IF(B22="",0,SUM(B22/$B$21)*100),1)</f>
        <v>0</v>
      </c>
      <c r="N22" s="15">
        <f>IF(M22=$K$22,$L$22,M22)</f>
        <v>0.1</v>
      </c>
      <c r="O22" s="15">
        <f>IF(N22=K$23,L$23,N22)</f>
        <v>0.1</v>
      </c>
      <c r="P22" s="15">
        <f>IF(O22=K$24,L$24,O22)</f>
        <v>0.1</v>
      </c>
      <c r="Q22" s="15">
        <f>IF(P22=K$25,L$25,P22)</f>
        <v>0.1</v>
      </c>
      <c r="R22" s="15">
        <f>IF(Q22=K$26,L$26,Q22)</f>
        <v>0.1</v>
      </c>
      <c r="S22" s="2"/>
      <c r="T22" s="77" t="s">
        <v>61</v>
      </c>
      <c r="U22" s="78">
        <f>'Grad 3'!I8</f>
        <v>0</v>
      </c>
      <c r="V22" s="78">
        <f>'Grad 3'!I25</f>
        <v>0</v>
      </c>
      <c r="W22" s="78">
        <f>'Grad 3'!I41</f>
        <v>0</v>
      </c>
      <c r="X22" s="79" t="str">
        <f t="shared" si="13"/>
        <v xml:space="preserve"> </v>
      </c>
      <c r="Y22" s="247" t="str">
        <f t="shared" si="14"/>
        <v xml:space="preserve"> </v>
      </c>
      <c r="Z22" s="78">
        <f>'Grad 1'!Z22</f>
        <v>0</v>
      </c>
      <c r="AA22" s="92">
        <f t="shared" si="10"/>
        <v>0</v>
      </c>
      <c r="AB22" s="92">
        <f t="shared" si="11"/>
        <v>5</v>
      </c>
      <c r="AC22" s="76" t="str">
        <f t="shared" si="12"/>
        <v>No</v>
      </c>
      <c r="AD22" s="14">
        <f t="shared" si="15"/>
        <v>0</v>
      </c>
      <c r="AE22" s="2" t="str">
        <f t="shared" si="16"/>
        <v>0-5</v>
      </c>
    </row>
    <row r="23" spans="1:31" ht="21" customHeight="1">
      <c r="A23" s="33" t="s">
        <v>233</v>
      </c>
      <c r="B23" s="186"/>
      <c r="C23" s="29"/>
      <c r="D23" s="31"/>
      <c r="E23" s="29"/>
      <c r="F23" s="29"/>
      <c r="G23" s="181">
        <f>IF($M$23=100,$M23,IF($N$23=100,$N23,IF($O$23=100,$O23,IF($P$23=100,$P23,IF($Q$23=100,$Q23,IF($R$23=100,$R23,$R23))))))</f>
        <v>0.1</v>
      </c>
      <c r="H23" s="181">
        <f t="shared" ref="H23:H28" si="18">IF(H22=0,0,(H22-G23))</f>
        <v>0</v>
      </c>
      <c r="I23" s="182">
        <f t="shared" si="17"/>
        <v>0</v>
      </c>
      <c r="J23" s="191"/>
      <c r="K23" s="17">
        <f>LARGE(M22:M29,2)</f>
        <v>0</v>
      </c>
      <c r="L23" s="17">
        <f>IF(N31&gt;100,K23-0.1,IF(N31&lt;100,K23+0.1,K23))</f>
        <v>0.1</v>
      </c>
      <c r="M23" s="18">
        <f t="shared" ref="M23:M29" si="19">ROUND(IF(B23="",0,SUM(B23/$B$21)*100),1)</f>
        <v>0</v>
      </c>
      <c r="N23" s="15">
        <f t="shared" ref="N23:N29" si="20">IF(M23=$K$22,$L$22,M23)</f>
        <v>0.1</v>
      </c>
      <c r="O23" s="15">
        <f t="shared" ref="O23:O29" si="21">IF(N23=K$23,L$23,N23)</f>
        <v>0.1</v>
      </c>
      <c r="P23" s="15">
        <f t="shared" ref="P23:P29" si="22">IF(O23=K$24,L$24,O23)</f>
        <v>0.1</v>
      </c>
      <c r="Q23" s="15">
        <f t="shared" ref="Q23:Q29" si="23">IF(P23=K$25,L$25,P23)</f>
        <v>0.1</v>
      </c>
      <c r="R23" s="15">
        <f t="shared" ref="R23:R29" si="24">IF(Q23=K$26,L$26,Q23)</f>
        <v>0.1</v>
      </c>
      <c r="S23" s="2"/>
      <c r="T23" s="77" t="s">
        <v>62</v>
      </c>
      <c r="U23" s="78">
        <f>'Grad 3'!I9</f>
        <v>0</v>
      </c>
      <c r="V23" s="78">
        <f>'Grad 3'!I26</f>
        <v>0</v>
      </c>
      <c r="W23" s="78">
        <f>'Grad 3'!I42</f>
        <v>0</v>
      </c>
      <c r="X23" s="79" t="str">
        <f t="shared" si="13"/>
        <v xml:space="preserve"> </v>
      </c>
      <c r="Y23" s="247" t="str">
        <f t="shared" si="14"/>
        <v xml:space="preserve"> </v>
      </c>
      <c r="Z23" s="78">
        <f>'Grad 1'!Z23</f>
        <v>0</v>
      </c>
      <c r="AA23" s="92">
        <f t="shared" si="10"/>
        <v>0</v>
      </c>
      <c r="AB23" s="92">
        <f t="shared" si="11"/>
        <v>5</v>
      </c>
      <c r="AC23" s="76" t="str">
        <f t="shared" si="12"/>
        <v>No</v>
      </c>
      <c r="AD23" s="14">
        <f t="shared" si="15"/>
        <v>0</v>
      </c>
      <c r="AE23" s="2" t="str">
        <f t="shared" si="16"/>
        <v>0-5</v>
      </c>
    </row>
    <row r="24" spans="1:31" ht="21" customHeight="1">
      <c r="A24" s="33" t="s">
        <v>234</v>
      </c>
      <c r="B24" s="186"/>
      <c r="C24" s="29"/>
      <c r="D24" s="29"/>
      <c r="E24" s="29"/>
      <c r="F24" s="29"/>
      <c r="G24" s="181">
        <f t="shared" ref="G24:G29" si="25">IF($M$14=100,$M24,IF($N$14=100,$N24,IF($O$14=100,$O24,IF($P$14=100,$P24,IF($Q$14=100,$Q24,IF($R$14=100,$R24,$R24))))))</f>
        <v>0.1</v>
      </c>
      <c r="H24" s="181">
        <f t="shared" si="18"/>
        <v>0</v>
      </c>
      <c r="I24" s="182">
        <f t="shared" si="17"/>
        <v>0</v>
      </c>
      <c r="J24" s="191" t="str">
        <f>IF('Proj Info'!B41=" "," ",'Proj Info'!B41)</f>
        <v/>
      </c>
      <c r="K24" s="17">
        <f>LARGE(M22:M29,3)</f>
        <v>0</v>
      </c>
      <c r="L24" s="17">
        <f>IF(O31&gt;100,K24-0.1,IF(O31&lt;100,K24+0.1,K24))</f>
        <v>0.1</v>
      </c>
      <c r="M24" s="18">
        <f t="shared" si="19"/>
        <v>0</v>
      </c>
      <c r="N24" s="15">
        <f t="shared" si="20"/>
        <v>0.1</v>
      </c>
      <c r="O24" s="15">
        <f t="shared" si="21"/>
        <v>0.1</v>
      </c>
      <c r="P24" s="15">
        <f t="shared" si="22"/>
        <v>0.1</v>
      </c>
      <c r="Q24" s="15">
        <f t="shared" si="23"/>
        <v>0.1</v>
      </c>
      <c r="R24" s="15">
        <f t="shared" si="24"/>
        <v>0.1</v>
      </c>
      <c r="S24" s="2"/>
      <c r="T24" s="77" t="s">
        <v>63</v>
      </c>
      <c r="U24" s="78">
        <f>'Grad 3'!I10</f>
        <v>0</v>
      </c>
      <c r="V24" s="78">
        <f>'Grad 3'!I27</f>
        <v>0</v>
      </c>
      <c r="W24" s="78">
        <f>'Grad 3'!I43</f>
        <v>0</v>
      </c>
      <c r="X24" s="79" t="str">
        <f t="shared" si="13"/>
        <v xml:space="preserve"> </v>
      </c>
      <c r="Y24" s="247" t="str">
        <f t="shared" si="14"/>
        <v xml:space="preserve"> </v>
      </c>
      <c r="Z24" s="78">
        <f>'Grad 1'!Z24</f>
        <v>0</v>
      </c>
      <c r="AA24" s="92">
        <f t="shared" si="10"/>
        <v>0</v>
      </c>
      <c r="AB24" s="92">
        <f t="shared" si="11"/>
        <v>5</v>
      </c>
      <c r="AC24" s="76" t="str">
        <f t="shared" si="12"/>
        <v>No</v>
      </c>
      <c r="AD24" s="14">
        <f t="shared" si="15"/>
        <v>0</v>
      </c>
      <c r="AE24" s="2" t="str">
        <f t="shared" si="16"/>
        <v>0-5</v>
      </c>
    </row>
    <row r="25" spans="1:31" ht="21" customHeight="1">
      <c r="A25" s="33" t="s">
        <v>235</v>
      </c>
      <c r="B25" s="186"/>
      <c r="C25" s="29"/>
      <c r="D25" s="29"/>
      <c r="E25" s="29"/>
      <c r="F25" s="29"/>
      <c r="G25" s="181">
        <f t="shared" si="25"/>
        <v>0.1</v>
      </c>
      <c r="H25" s="181">
        <f t="shared" si="18"/>
        <v>0</v>
      </c>
      <c r="I25" s="182">
        <f t="shared" si="17"/>
        <v>0</v>
      </c>
      <c r="J25" s="191" t="str">
        <f>IF('Proj Info'!B42=" "," ",'Proj Info'!B42)</f>
        <v/>
      </c>
      <c r="K25" s="17">
        <f>LARGE(M22:M29,4)</f>
        <v>0</v>
      </c>
      <c r="L25" s="17">
        <f>IF(P31&gt;100,K25-0.1,IF(P31&lt;100,K25+0.1,K25))</f>
        <v>0.1</v>
      </c>
      <c r="M25" s="18">
        <f t="shared" si="19"/>
        <v>0</v>
      </c>
      <c r="N25" s="15">
        <f t="shared" si="20"/>
        <v>0.1</v>
      </c>
      <c r="O25" s="15">
        <f t="shared" si="21"/>
        <v>0.1</v>
      </c>
      <c r="P25" s="15">
        <f t="shared" si="22"/>
        <v>0.1</v>
      </c>
      <c r="Q25" s="15">
        <f t="shared" si="23"/>
        <v>0.1</v>
      </c>
      <c r="R25" s="15">
        <f t="shared" si="24"/>
        <v>0.1</v>
      </c>
      <c r="S25" s="2"/>
      <c r="T25" s="77" t="s">
        <v>64</v>
      </c>
      <c r="U25" s="78">
        <f>'Grad 3'!I11</f>
        <v>0</v>
      </c>
      <c r="V25" s="78">
        <f>'Grad 3'!I28</f>
        <v>0</v>
      </c>
      <c r="W25" s="78">
        <f>'Grad 3'!I44</f>
        <v>0</v>
      </c>
      <c r="X25" s="79" t="str">
        <f t="shared" si="13"/>
        <v xml:space="preserve"> </v>
      </c>
      <c r="Y25" s="247" t="str">
        <f t="shared" si="14"/>
        <v xml:space="preserve"> </v>
      </c>
      <c r="Z25" s="78">
        <f>'Grad 1'!Z25</f>
        <v>0</v>
      </c>
      <c r="AA25" s="92">
        <f>IF((Z25-4)&gt;0,Z25-4,0)</f>
        <v>0</v>
      </c>
      <c r="AB25" s="92">
        <f>Z25+4</f>
        <v>4</v>
      </c>
      <c r="AC25" s="76" t="str">
        <f t="shared" si="12"/>
        <v>No</v>
      </c>
      <c r="AD25" s="14">
        <f t="shared" si="15"/>
        <v>0</v>
      </c>
      <c r="AE25" s="2" t="str">
        <f t="shared" si="16"/>
        <v>0-4</v>
      </c>
    </row>
    <row r="26" spans="1:31" ht="21" customHeight="1">
      <c r="A26" s="33" t="s">
        <v>236</v>
      </c>
      <c r="B26" s="186"/>
      <c r="C26" s="29"/>
      <c r="D26" s="29"/>
      <c r="E26" s="29"/>
      <c r="F26" s="29"/>
      <c r="G26" s="181">
        <f t="shared" si="25"/>
        <v>0.1</v>
      </c>
      <c r="H26" s="181">
        <f t="shared" si="18"/>
        <v>0</v>
      </c>
      <c r="I26" s="182">
        <f t="shared" si="17"/>
        <v>0</v>
      </c>
      <c r="J26" s="191" t="str">
        <f>IF('Proj Info'!B43=" "," ",'Proj Info'!B43)</f>
        <v/>
      </c>
      <c r="K26" s="17">
        <f>LARGE(M22:M29,5)</f>
        <v>0</v>
      </c>
      <c r="L26" s="17">
        <f>IF(Q31&gt;100,K26-0.1,IF(Q31&lt;100,K26+0.1,K26))</f>
        <v>0.1</v>
      </c>
      <c r="M26" s="18">
        <f t="shared" si="19"/>
        <v>0</v>
      </c>
      <c r="N26" s="15">
        <f t="shared" si="20"/>
        <v>0.1</v>
      </c>
      <c r="O26" s="15">
        <f t="shared" si="21"/>
        <v>0.1</v>
      </c>
      <c r="P26" s="15">
        <f t="shared" si="22"/>
        <v>0.1</v>
      </c>
      <c r="Q26" s="15">
        <f t="shared" si="23"/>
        <v>0.1</v>
      </c>
      <c r="R26" s="15">
        <f t="shared" si="24"/>
        <v>0.1</v>
      </c>
      <c r="S26" s="2"/>
      <c r="T26" s="77" t="s">
        <v>65</v>
      </c>
      <c r="U26" s="80">
        <f>U25-($U$25-$U$30)/5</f>
        <v>0</v>
      </c>
      <c r="V26" s="80">
        <f>V25-($V$25-$V$30)/5</f>
        <v>0</v>
      </c>
      <c r="W26" s="78">
        <f>'Grad 3'!I45</f>
        <v>0</v>
      </c>
      <c r="X26" s="79" t="str">
        <f t="shared" si="13"/>
        <v xml:space="preserve"> </v>
      </c>
      <c r="Y26" s="247" t="str">
        <f t="shared" si="14"/>
        <v xml:space="preserve"> </v>
      </c>
      <c r="Z26" s="78">
        <f>'Grad 1'!Z26</f>
        <v>0</v>
      </c>
      <c r="AA26" s="92">
        <f>IF((Z26-4)&gt;0,Z26-4,0)</f>
        <v>0</v>
      </c>
      <c r="AB26" s="92">
        <f>Z26+4</f>
        <v>4</v>
      </c>
      <c r="AC26" s="76" t="str">
        <f t="shared" si="12"/>
        <v>No</v>
      </c>
      <c r="AD26" s="14">
        <f t="shared" si="15"/>
        <v>0</v>
      </c>
      <c r="AE26" s="2" t="str">
        <f t="shared" si="16"/>
        <v>0-4</v>
      </c>
    </row>
    <row r="27" spans="1:31" ht="21" customHeight="1">
      <c r="A27" s="33" t="s">
        <v>237</v>
      </c>
      <c r="B27" s="186"/>
      <c r="C27" s="29"/>
      <c r="D27" s="29"/>
      <c r="E27" s="29"/>
      <c r="F27" s="29"/>
      <c r="G27" s="181">
        <f t="shared" si="25"/>
        <v>0.1</v>
      </c>
      <c r="H27" s="181">
        <f t="shared" si="18"/>
        <v>0</v>
      </c>
      <c r="I27" s="182">
        <f t="shared" si="17"/>
        <v>0</v>
      </c>
      <c r="J27" s="191" t="str">
        <f>IF('Proj Info'!B44=" "," ",'Proj Info'!B44)</f>
        <v/>
      </c>
      <c r="K27" s="17"/>
      <c r="L27" s="17"/>
      <c r="M27" s="18">
        <f t="shared" si="19"/>
        <v>0</v>
      </c>
      <c r="N27" s="15">
        <f t="shared" si="20"/>
        <v>0.1</v>
      </c>
      <c r="O27" s="15">
        <f t="shared" si="21"/>
        <v>0.1</v>
      </c>
      <c r="P27" s="15">
        <f t="shared" si="22"/>
        <v>0.1</v>
      </c>
      <c r="Q27" s="15">
        <f t="shared" si="23"/>
        <v>0.1</v>
      </c>
      <c r="R27" s="15">
        <f t="shared" si="24"/>
        <v>0.1</v>
      </c>
      <c r="S27" s="2"/>
      <c r="T27" s="77" t="s">
        <v>66</v>
      </c>
      <c r="U27" s="80">
        <f>U26-($U$25-$U$30)/5</f>
        <v>0</v>
      </c>
      <c r="V27" s="80">
        <f>V26-($V$25-$V$30)/5</f>
        <v>0</v>
      </c>
      <c r="W27" s="78">
        <f>'Grad 3'!I46</f>
        <v>0</v>
      </c>
      <c r="X27" s="79" t="str">
        <f t="shared" si="13"/>
        <v xml:space="preserve"> </v>
      </c>
      <c r="Y27" s="247" t="str">
        <f t="shared" si="14"/>
        <v xml:space="preserve"> </v>
      </c>
      <c r="Z27" s="78">
        <f>'Grad 1'!Z27</f>
        <v>0</v>
      </c>
      <c r="AA27" s="92">
        <f>IF((Z27-4)&gt;0,Z27-4,0)</f>
        <v>0</v>
      </c>
      <c r="AB27" s="92">
        <f>Z27+4</f>
        <v>4</v>
      </c>
      <c r="AC27" s="76" t="str">
        <f t="shared" si="12"/>
        <v>No</v>
      </c>
      <c r="AD27" s="14">
        <f t="shared" si="15"/>
        <v>0</v>
      </c>
      <c r="AE27" s="2" t="str">
        <f t="shared" si="16"/>
        <v>0-4</v>
      </c>
    </row>
    <row r="28" spans="1:31" ht="21" customHeight="1" thickBot="1">
      <c r="A28" s="33" t="s">
        <v>238</v>
      </c>
      <c r="B28" s="186"/>
      <c r="C28" s="29"/>
      <c r="D28" s="36" t="s">
        <v>27</v>
      </c>
      <c r="E28" s="29"/>
      <c r="F28" s="29"/>
      <c r="G28" s="181">
        <f t="shared" si="25"/>
        <v>0.1</v>
      </c>
      <c r="H28" s="181">
        <f t="shared" si="18"/>
        <v>0</v>
      </c>
      <c r="I28" s="182">
        <f t="shared" si="17"/>
        <v>0</v>
      </c>
      <c r="J28" s="191" t="str">
        <f>IF('Proj Info'!B45=" "," ",'Proj Info'!B45)</f>
        <v/>
      </c>
      <c r="K28" s="17"/>
      <c r="L28" s="17"/>
      <c r="M28" s="18">
        <f t="shared" si="19"/>
        <v>0</v>
      </c>
      <c r="N28" s="15">
        <f t="shared" si="20"/>
        <v>0.1</v>
      </c>
      <c r="O28" s="15">
        <f t="shared" si="21"/>
        <v>0.1</v>
      </c>
      <c r="P28" s="15">
        <f t="shared" si="22"/>
        <v>0.1</v>
      </c>
      <c r="Q28" s="15">
        <f t="shared" si="23"/>
        <v>0.1</v>
      </c>
      <c r="R28" s="15">
        <f t="shared" si="24"/>
        <v>0.1</v>
      </c>
      <c r="S28" s="2"/>
      <c r="T28" s="77" t="s">
        <v>67</v>
      </c>
      <c r="U28" s="80">
        <f>U27-($U$25-$U$30)/5</f>
        <v>0</v>
      </c>
      <c r="V28" s="80">
        <f>V27-($V$25-$V$30)/5</f>
        <v>0</v>
      </c>
      <c r="W28" s="78">
        <f>'Grad 3'!I47</f>
        <v>0</v>
      </c>
      <c r="X28" s="79" t="str">
        <f t="shared" si="13"/>
        <v xml:space="preserve"> </v>
      </c>
      <c r="Y28" s="247" t="str">
        <f t="shared" si="14"/>
        <v xml:space="preserve"> </v>
      </c>
      <c r="Z28" s="78">
        <f>'Grad 1'!Z28</f>
        <v>0</v>
      </c>
      <c r="AA28" s="92">
        <f>IF((Z28-3)&gt;0,Z28-3,0)</f>
        <v>0</v>
      </c>
      <c r="AB28" s="92">
        <f>Z28+3</f>
        <v>3</v>
      </c>
      <c r="AC28" s="76" t="str">
        <f t="shared" si="12"/>
        <v>No</v>
      </c>
      <c r="AD28" s="14">
        <f t="shared" si="15"/>
        <v>0</v>
      </c>
      <c r="AE28" s="2" t="str">
        <f t="shared" si="16"/>
        <v>0-3</v>
      </c>
    </row>
    <row r="29" spans="1:31" ht="21" customHeight="1" thickBot="1">
      <c r="A29" s="33" t="s">
        <v>39</v>
      </c>
      <c r="B29" s="179"/>
      <c r="C29" s="29"/>
      <c r="D29" s="184">
        <f>IF(B29="",0,SUM(B22:B29))</f>
        <v>0</v>
      </c>
      <c r="E29" s="29"/>
      <c r="F29" s="29"/>
      <c r="G29" s="181">
        <f t="shared" si="25"/>
        <v>0.1</v>
      </c>
      <c r="H29" s="37"/>
      <c r="I29" s="37"/>
      <c r="J29" s="194"/>
      <c r="K29" s="17"/>
      <c r="L29" s="17"/>
      <c r="M29" s="18">
        <f t="shared" si="19"/>
        <v>0</v>
      </c>
      <c r="N29" s="15">
        <f t="shared" si="20"/>
        <v>0.1</v>
      </c>
      <c r="O29" s="15">
        <f t="shared" si="21"/>
        <v>0.1</v>
      </c>
      <c r="P29" s="15">
        <f t="shared" si="22"/>
        <v>0.1</v>
      </c>
      <c r="Q29" s="15">
        <f t="shared" si="23"/>
        <v>0.1</v>
      </c>
      <c r="R29" s="15">
        <f t="shared" si="24"/>
        <v>0.1</v>
      </c>
      <c r="S29" s="2"/>
      <c r="T29" s="77" t="s">
        <v>68</v>
      </c>
      <c r="U29" s="80">
        <f>U28-($U$25-$U$30)/5</f>
        <v>0</v>
      </c>
      <c r="V29" s="80">
        <f>V28-($V$25-$V$30)/5</f>
        <v>0</v>
      </c>
      <c r="W29" s="78">
        <f>'Grad 3'!I48</f>
        <v>0</v>
      </c>
      <c r="X29" s="79" t="str">
        <f t="shared" si="13"/>
        <v xml:space="preserve"> </v>
      </c>
      <c r="Y29" s="247" t="str">
        <f t="shared" si="14"/>
        <v xml:space="preserve"> </v>
      </c>
      <c r="Z29" s="78">
        <f>'Grad 1'!Z29</f>
        <v>0</v>
      </c>
      <c r="AA29" s="92">
        <f>IF((Z29-2)&gt;0,Z29-2,0)</f>
        <v>0</v>
      </c>
      <c r="AB29" s="92">
        <f>Z29+2</f>
        <v>2</v>
      </c>
      <c r="AC29" s="76" t="str">
        <f t="shared" si="12"/>
        <v>No</v>
      </c>
      <c r="AD29" s="14">
        <f t="shared" si="15"/>
        <v>0</v>
      </c>
      <c r="AE29" s="2" t="str">
        <f t="shared" si="16"/>
        <v>0-2</v>
      </c>
    </row>
    <row r="30" spans="1:31" ht="21" customHeight="1">
      <c r="A30" s="229" t="s">
        <v>239</v>
      </c>
      <c r="B30" s="187"/>
      <c r="C30" s="37" t="s">
        <v>37</v>
      </c>
      <c r="D30" s="29"/>
      <c r="E30" s="29"/>
      <c r="F30" s="29"/>
      <c r="G30" s="181">
        <f>SUM(G22:G29)</f>
        <v>0.79999999999999993</v>
      </c>
      <c r="H30" s="183"/>
      <c r="I30" s="183"/>
      <c r="J30" s="194"/>
      <c r="K30" s="14"/>
      <c r="L30" s="14"/>
      <c r="M30" s="16"/>
      <c r="N30" s="17"/>
      <c r="O30" s="19"/>
      <c r="P30" s="19"/>
      <c r="Q30" s="19"/>
      <c r="R30" s="19"/>
      <c r="S30" s="2"/>
      <c r="T30" s="77" t="s">
        <v>17</v>
      </c>
      <c r="U30" s="78">
        <f>'Grad 3'!$I$14</f>
        <v>0</v>
      </c>
      <c r="V30" s="78">
        <f>'Grad 3'!$I$31</f>
        <v>0</v>
      </c>
      <c r="W30" s="78">
        <f>'Grad 3'!I49</f>
        <v>0</v>
      </c>
      <c r="X30" s="79" t="str">
        <f t="shared" si="13"/>
        <v xml:space="preserve"> </v>
      </c>
      <c r="Y30" s="247" t="str">
        <f t="shared" si="14"/>
        <v xml:space="preserve"> </v>
      </c>
      <c r="Z30" s="78">
        <f>'Grad 1'!Z30</f>
        <v>1.5</v>
      </c>
      <c r="AA30" s="92">
        <v>0</v>
      </c>
      <c r="AB30" s="78">
        <f>Z30</f>
        <v>1.5</v>
      </c>
      <c r="AC30" s="76" t="str">
        <f t="shared" si="12"/>
        <v>No</v>
      </c>
      <c r="AD30" s="14">
        <f t="shared" si="15"/>
        <v>0</v>
      </c>
      <c r="AE30" s="2" t="str">
        <f t="shared" si="16"/>
        <v>0-1.5</v>
      </c>
    </row>
    <row r="31" spans="1:31" ht="21" customHeight="1" thickBot="1">
      <c r="A31" s="230" t="s">
        <v>240</v>
      </c>
      <c r="B31" s="188"/>
      <c r="C31" s="37" t="s">
        <v>38</v>
      </c>
      <c r="D31" s="29"/>
      <c r="E31" s="29"/>
      <c r="F31" s="29"/>
      <c r="G31" s="183"/>
      <c r="H31" s="38" t="s">
        <v>17</v>
      </c>
      <c r="I31" s="180">
        <f>ROUND(IF(B34=0,0,SUM(B34/B30)*100),1)</f>
        <v>0</v>
      </c>
      <c r="J31" s="191" t="str">
        <f>IF('Proj Info'!B46=" "," ",'Proj Info'!B46)</f>
        <v/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S31" s="2"/>
      <c r="T31" s="81"/>
      <c r="U31" s="83"/>
      <c r="V31" s="83"/>
      <c r="W31" s="83"/>
      <c r="X31" s="82"/>
      <c r="Y31" s="82"/>
      <c r="Z31" s="87"/>
      <c r="AA31" s="83"/>
      <c r="AB31" s="83"/>
      <c r="AC31" s="71"/>
      <c r="AD31" s="14">
        <f>+SUM(AD19:AD30)</f>
        <v>0</v>
      </c>
      <c r="AE31" s="2" t="str">
        <f>IF(AD31=12,"Y","N")</f>
        <v>N</v>
      </c>
    </row>
    <row r="32" spans="1:31" ht="21" customHeight="1" thickTop="1">
      <c r="A32" s="33" t="s">
        <v>39</v>
      </c>
      <c r="B32" s="179"/>
      <c r="C32" s="37" t="s">
        <v>40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S32" s="2"/>
      <c r="T32" s="2"/>
      <c r="U32" s="2"/>
      <c r="V32" s="2"/>
      <c r="W32" s="2"/>
      <c r="X32" s="2" t="s">
        <v>128</v>
      </c>
      <c r="Y32" s="263" t="str">
        <f>IF(B4="","",((100-Y19)+(Y19-Y20)+(Y20-Y21)+(Y21-Y22)+(Y22-Y23))/((100-Y19)+(Y19-Y20)+(Y20-Y21)+(Y21-Y22)+(Y22-Y23)+(Y23-Y24)+(Y24-Y25))*100)</f>
        <v/>
      </c>
      <c r="Z32" s="2"/>
      <c r="AA32" s="2"/>
      <c r="AB32" s="2"/>
      <c r="AC32" s="2"/>
      <c r="AD32" s="2"/>
      <c r="AE32" s="2"/>
    </row>
    <row r="33" spans="1:31" ht="21" customHeight="1">
      <c r="A33" s="33" t="s">
        <v>41</v>
      </c>
      <c r="B33" s="180">
        <f>IF(B31="",0,SUM(B30-B31))</f>
        <v>0</v>
      </c>
      <c r="C33" s="37" t="s">
        <v>42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S33" s="2"/>
      <c r="T33" s="2"/>
      <c r="U33" s="2"/>
      <c r="V33" s="2"/>
      <c r="W33" s="2"/>
      <c r="X33" s="2" t="s">
        <v>129</v>
      </c>
      <c r="Y33" s="263" t="str">
        <f>IF(Y25="","",Y25)</f>
        <v xml:space="preserve"> </v>
      </c>
      <c r="Z33" s="2"/>
      <c r="AA33" s="2"/>
      <c r="AB33" s="2"/>
      <c r="AC33" s="2"/>
      <c r="AD33" s="2"/>
      <c r="AE33" s="2"/>
    </row>
    <row r="34" spans="1:31" ht="21" customHeight="1">
      <c r="A34" s="33" t="s">
        <v>43</v>
      </c>
      <c r="B34" s="189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1" customHeight="1">
      <c r="A35" s="33" t="s">
        <v>241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</row>
    <row r="37" spans="1:31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</row>
    <row r="38" spans="1:31" ht="21" customHeight="1">
      <c r="A38" s="232" t="s">
        <v>242</v>
      </c>
      <c r="B38" s="204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</row>
    <row r="39" spans="1:31" ht="21" customHeight="1">
      <c r="A39" s="233" t="s">
        <v>243</v>
      </c>
      <c r="B39" s="179"/>
      <c r="C39" s="287" t="s">
        <v>45</v>
      </c>
      <c r="D39" s="288"/>
      <c r="E39" s="177">
        <f>ROUND(IF(D51=0,0,SUM(D51/B39)*100),1)</f>
        <v>0</v>
      </c>
      <c r="F39" s="31" t="s">
        <v>32</v>
      </c>
      <c r="G39" s="10" t="s">
        <v>46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</row>
    <row r="40" spans="1:31" ht="21" customHeight="1">
      <c r="A40" s="233" t="s">
        <v>244</v>
      </c>
      <c r="B40" s="179"/>
      <c r="C40" s="29"/>
      <c r="D40" s="292" t="str">
        <f>IF(E39&lt;5,"",IF(E39&lt;99.5,"Check Weights.",IF(E39&gt;100.5,"Check Weights","")))</f>
        <v/>
      </c>
      <c r="E40" s="293"/>
      <c r="F40" s="35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</row>
    <row r="41" spans="1:31" ht="21" customHeight="1">
      <c r="A41" s="33" t="s">
        <v>235</v>
      </c>
      <c r="B41" s="179"/>
      <c r="C41" s="29"/>
      <c r="D41" s="34"/>
      <c r="E41" s="35"/>
      <c r="F41" s="35"/>
      <c r="G41" s="180">
        <f>IF($M$52=100,$M41,IF($N$52=100,$N41,IF($O$52=100,$O41,IF($P$52=100,$P41,IF($Q$52=100,$Q41,IF($R$52=100,$R41,$R41))))))</f>
        <v>0.1</v>
      </c>
      <c r="H41" s="180">
        <f>IF(D51=0,0,100-G41)</f>
        <v>0</v>
      </c>
      <c r="I41" s="190">
        <f>IF(H41&gt;9.9,ROUND(H41,0),ROUND(H41,1))</f>
        <v>0</v>
      </c>
      <c r="J41" s="13"/>
      <c r="K41" s="14"/>
      <c r="L41" s="14"/>
      <c r="M41" s="22">
        <f>ROUND(IF(B41="",0,SUM(B41/$B$39)*100),1)</f>
        <v>0</v>
      </c>
      <c r="N41" s="19">
        <f>IF(M41=K42,L42,M41)</f>
        <v>0</v>
      </c>
      <c r="O41" s="23">
        <f>IF(N41=K$44,L$44,N41)</f>
        <v>0.1</v>
      </c>
      <c r="P41" s="23">
        <f>IF(O41=K$45,L$45,O41)</f>
        <v>0.1</v>
      </c>
      <c r="Q41" s="23">
        <f>IF(P41=K$46,L$46,P41)</f>
        <v>0.1</v>
      </c>
      <c r="R41" s="23">
        <f>IF(Q41=K$46,L$46,Q41)</f>
        <v>0.1</v>
      </c>
    </row>
    <row r="42" spans="1:31" ht="21" customHeight="1">
      <c r="A42" s="33" t="s">
        <v>236</v>
      </c>
      <c r="B42" s="179"/>
      <c r="C42" s="29"/>
      <c r="D42" s="29"/>
      <c r="E42" s="29"/>
      <c r="F42" s="29"/>
      <c r="G42" s="180">
        <f t="shared" ref="G42:G47" si="27">IF($M$52=100,$M42,IF($N$52=100,$N42,IF($O$52=100,$O42,IF($P$52=100,$P42,IF($Q$52=100,$Q42,IF($R$52=100,$R42,$R42))))))</f>
        <v>0.1</v>
      </c>
      <c r="H42" s="180">
        <f t="shared" ref="H42:H49" si="28">IF(H41=0,0,(H41-G42))</f>
        <v>0</v>
      </c>
      <c r="I42" s="190">
        <f t="shared" ref="I42:I49" si="29">IF(H42&gt;9.9,ROUND(H42,0),ROUND(H42,1))</f>
        <v>0</v>
      </c>
      <c r="J42" s="13" t="str">
        <f>IF('Proj Info'!B47=" "," ",'Proj Info'!B47)</f>
        <v/>
      </c>
      <c r="K42" s="14"/>
      <c r="L42" s="14"/>
      <c r="M42" s="22">
        <f t="shared" ref="M42:M49" si="30">ROUND(IF(B42="",0,SUM(B42/$B$39)*100),1)</f>
        <v>0</v>
      </c>
      <c r="N42" s="19">
        <f>IF(M42=K43,L43,M42)</f>
        <v>0.1</v>
      </c>
      <c r="O42" s="23">
        <f t="shared" ref="O42:O50" si="31">IF(N42=K$44,L$44,N42)</f>
        <v>0.1</v>
      </c>
      <c r="P42" s="23">
        <f t="shared" ref="P42:P50" si="32">IF(O42=K$45,L$45,O42)</f>
        <v>0.1</v>
      </c>
      <c r="Q42" s="23">
        <f t="shared" ref="Q42:Q50" si="33">IF(P42=K$46,L$46,P42)</f>
        <v>0.1</v>
      </c>
      <c r="R42" s="23">
        <f>IF(Q42=K$46,L$46,Q42)</f>
        <v>0.1</v>
      </c>
    </row>
    <row r="43" spans="1:31" ht="21" customHeight="1">
      <c r="A43" s="33" t="s">
        <v>237</v>
      </c>
      <c r="B43" s="179"/>
      <c r="C43" s="29"/>
      <c r="D43" s="29"/>
      <c r="E43" s="29"/>
      <c r="F43" s="29"/>
      <c r="G43" s="180">
        <f t="shared" si="27"/>
        <v>0.1</v>
      </c>
      <c r="H43" s="180">
        <f t="shared" si="28"/>
        <v>0</v>
      </c>
      <c r="I43" s="190">
        <f t="shared" si="29"/>
        <v>0</v>
      </c>
      <c r="J43" s="13" t="str">
        <f>IF('Proj Info'!B48=" "," ",'Proj Info'!B48)</f>
        <v/>
      </c>
      <c r="K43" s="17">
        <f>LARGE(M43:M47,1)</f>
        <v>0</v>
      </c>
      <c r="L43" s="17">
        <f>IF(M52&lt;100,(K43+0.1),IF(M52&gt;100,(K43-0.1),K43))</f>
        <v>0.1</v>
      </c>
      <c r="M43" s="22">
        <f t="shared" si="30"/>
        <v>0</v>
      </c>
      <c r="N43" s="19">
        <f t="shared" ref="N43:N50" si="34">IF(M43=$K$43,$L$43,M43)</f>
        <v>0.1</v>
      </c>
      <c r="O43" s="23">
        <f t="shared" si="31"/>
        <v>0.1</v>
      </c>
      <c r="P43" s="23">
        <f t="shared" si="32"/>
        <v>0.1</v>
      </c>
      <c r="Q43" s="23">
        <f t="shared" si="33"/>
        <v>0.1</v>
      </c>
      <c r="R43" s="23">
        <f t="shared" ref="R43:R50" si="35">IF(Q43=K$47,L$47,Q43)</f>
        <v>0.1</v>
      </c>
    </row>
    <row r="44" spans="1:31" ht="21" customHeight="1">
      <c r="A44" s="33" t="s">
        <v>238</v>
      </c>
      <c r="B44" s="179"/>
      <c r="C44" s="29"/>
      <c r="D44" s="29"/>
      <c r="E44" s="29"/>
      <c r="F44" s="29"/>
      <c r="G44" s="180">
        <f t="shared" si="27"/>
        <v>0.1</v>
      </c>
      <c r="H44" s="180">
        <f t="shared" si="28"/>
        <v>0</v>
      </c>
      <c r="I44" s="190">
        <f t="shared" si="29"/>
        <v>0</v>
      </c>
      <c r="J44" s="13" t="str">
        <f>IF('Proj Info'!B49=" "," ",'Proj Info'!B49)</f>
        <v/>
      </c>
      <c r="K44" s="17">
        <f>LARGE(M43:M47,2)</f>
        <v>0</v>
      </c>
      <c r="L44" s="17">
        <f>IF(N52&lt;100,(K44+0.1),IF(N52&gt;100,(K44-0.1),K44))</f>
        <v>0.1</v>
      </c>
      <c r="M44" s="22">
        <f t="shared" si="30"/>
        <v>0</v>
      </c>
      <c r="N44" s="19">
        <f t="shared" si="34"/>
        <v>0.1</v>
      </c>
      <c r="O44" s="23">
        <f t="shared" si="31"/>
        <v>0.1</v>
      </c>
      <c r="P44" s="23">
        <f t="shared" si="32"/>
        <v>0.1</v>
      </c>
      <c r="Q44" s="23">
        <f t="shared" si="33"/>
        <v>0.1</v>
      </c>
      <c r="R44" s="23">
        <f t="shared" si="35"/>
        <v>0.1</v>
      </c>
    </row>
    <row r="45" spans="1:31" ht="21" customHeight="1">
      <c r="A45" s="33" t="s">
        <v>245</v>
      </c>
      <c r="B45" s="179"/>
      <c r="C45" s="29"/>
      <c r="D45" s="29"/>
      <c r="E45" s="29"/>
      <c r="F45" s="29"/>
      <c r="G45" s="180">
        <f t="shared" si="27"/>
        <v>0.1</v>
      </c>
      <c r="H45" s="180">
        <f t="shared" si="28"/>
        <v>0</v>
      </c>
      <c r="I45" s="190">
        <f t="shared" si="29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30"/>
        <v>0</v>
      </c>
      <c r="N45" s="19">
        <f t="shared" si="34"/>
        <v>0.1</v>
      </c>
      <c r="O45" s="23">
        <f t="shared" si="31"/>
        <v>0.1</v>
      </c>
      <c r="P45" s="23">
        <f t="shared" si="32"/>
        <v>0.1</v>
      </c>
      <c r="Q45" s="23">
        <f t="shared" si="33"/>
        <v>0.1</v>
      </c>
      <c r="R45" s="23">
        <f t="shared" si="35"/>
        <v>0.1</v>
      </c>
    </row>
    <row r="46" spans="1:31" ht="21" customHeight="1">
      <c r="A46" s="33" t="s">
        <v>246</v>
      </c>
      <c r="B46" s="179"/>
      <c r="C46" s="29"/>
      <c r="D46" s="29"/>
      <c r="E46" s="29"/>
      <c r="F46" s="29"/>
      <c r="G46" s="180">
        <f t="shared" si="27"/>
        <v>0.1</v>
      </c>
      <c r="H46" s="180">
        <f t="shared" si="28"/>
        <v>0</v>
      </c>
      <c r="I46" s="190">
        <f t="shared" si="29"/>
        <v>0</v>
      </c>
      <c r="J46" s="13" t="str">
        <f>IF('Proj Info'!B50=" "," ",'Proj Info'!B50)</f>
        <v/>
      </c>
      <c r="K46" s="17">
        <f>LARGE(M43:M47,4)</f>
        <v>0</v>
      </c>
      <c r="L46" s="17">
        <f>IF(P52&gt;100,K46-0.1,IF(P52&lt;100,K46+0.1,K46))</f>
        <v>0.1</v>
      </c>
      <c r="M46" s="22">
        <f t="shared" si="30"/>
        <v>0</v>
      </c>
      <c r="N46" s="19">
        <f t="shared" si="34"/>
        <v>0.1</v>
      </c>
      <c r="O46" s="23">
        <f t="shared" si="31"/>
        <v>0.1</v>
      </c>
      <c r="P46" s="23">
        <f t="shared" si="32"/>
        <v>0.1</v>
      </c>
      <c r="Q46" s="23">
        <f t="shared" si="33"/>
        <v>0.1</v>
      </c>
      <c r="R46" s="23">
        <f t="shared" si="35"/>
        <v>0.1</v>
      </c>
    </row>
    <row r="47" spans="1:31" ht="21" customHeight="1">
      <c r="A47" s="33" t="s">
        <v>247</v>
      </c>
      <c r="B47" s="179"/>
      <c r="C47" s="29"/>
      <c r="D47" s="29"/>
      <c r="E47" s="29"/>
      <c r="F47" s="29"/>
      <c r="G47" s="180">
        <f t="shared" si="27"/>
        <v>0.1</v>
      </c>
      <c r="H47" s="180">
        <f t="shared" si="28"/>
        <v>0</v>
      </c>
      <c r="I47" s="190">
        <f t="shared" si="29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30"/>
        <v>0</v>
      </c>
      <c r="N47" s="19">
        <f t="shared" si="34"/>
        <v>0.1</v>
      </c>
      <c r="O47" s="23">
        <f t="shared" si="31"/>
        <v>0.1</v>
      </c>
      <c r="P47" s="23">
        <f t="shared" si="32"/>
        <v>0.1</v>
      </c>
      <c r="Q47" s="23">
        <f t="shared" si="33"/>
        <v>0.1</v>
      </c>
      <c r="R47" s="23">
        <f t="shared" si="35"/>
        <v>0.1</v>
      </c>
    </row>
    <row r="48" spans="1:31" ht="21" customHeight="1">
      <c r="A48" s="33" t="s">
        <v>248</v>
      </c>
      <c r="B48" s="179"/>
      <c r="C48" s="29"/>
      <c r="D48" s="29"/>
      <c r="E48" s="29"/>
      <c r="F48" s="29"/>
      <c r="G48" s="180">
        <f>IF($M$52=100,$M48,IF($N$52=100,$N48,IF($O$52=100,$O48,IF($P$52=100,$P48,IF($Q$52=100,$Q48,IF($R$52=100,$R48,$R48))))))</f>
        <v>0.1</v>
      </c>
      <c r="H48" s="180">
        <f t="shared" si="28"/>
        <v>0</v>
      </c>
      <c r="I48" s="190">
        <f t="shared" si="29"/>
        <v>0</v>
      </c>
      <c r="J48" s="20"/>
      <c r="K48" s="17"/>
      <c r="L48" s="17"/>
      <c r="M48" s="22">
        <f t="shared" si="30"/>
        <v>0</v>
      </c>
      <c r="N48" s="19">
        <f t="shared" si="34"/>
        <v>0.1</v>
      </c>
      <c r="O48" s="23">
        <f t="shared" si="31"/>
        <v>0.1</v>
      </c>
      <c r="P48" s="23">
        <f t="shared" si="32"/>
        <v>0.1</v>
      </c>
      <c r="Q48" s="23">
        <f t="shared" si="33"/>
        <v>0.1</v>
      </c>
      <c r="R48" s="23">
        <f t="shared" si="35"/>
        <v>0.1</v>
      </c>
    </row>
    <row r="49" spans="1:18" ht="21" customHeight="1">
      <c r="A49" s="33" t="s">
        <v>249</v>
      </c>
      <c r="B49" s="179"/>
      <c r="C49" s="29"/>
      <c r="D49" s="29"/>
      <c r="E49" s="29"/>
      <c r="F49" s="29"/>
      <c r="G49" s="180">
        <f>IF($M$52=100,$M49,IF($N$52=100,$N49,IF($O$52=100,$O49,IF($P$52=100,$P49,IF($Q$52=100,$Q49,IF($R$52=100,$R49,$R49))))))</f>
        <v>0.1</v>
      </c>
      <c r="H49" s="180">
        <f t="shared" si="28"/>
        <v>0</v>
      </c>
      <c r="I49" s="190">
        <f t="shared" si="29"/>
        <v>0</v>
      </c>
      <c r="J49" s="13" t="str">
        <f>IF('Proj Info'!B51=" "," ",'Proj Info'!B51)</f>
        <v/>
      </c>
      <c r="K49" s="17"/>
      <c r="L49" s="17"/>
      <c r="M49" s="22">
        <f t="shared" si="30"/>
        <v>0</v>
      </c>
      <c r="N49" s="19">
        <f t="shared" si="34"/>
        <v>0.1</v>
      </c>
      <c r="O49" s="23">
        <f t="shared" si="31"/>
        <v>0.1</v>
      </c>
      <c r="P49" s="23">
        <f t="shared" si="32"/>
        <v>0.1</v>
      </c>
      <c r="Q49" s="23">
        <f t="shared" si="33"/>
        <v>0.1</v>
      </c>
      <c r="R49" s="23">
        <f t="shared" si="35"/>
        <v>0.1</v>
      </c>
    </row>
    <row r="50" spans="1:18" ht="21" customHeight="1" thickBot="1">
      <c r="A50" s="33" t="s">
        <v>47</v>
      </c>
      <c r="B50" s="179"/>
      <c r="C50" s="29"/>
      <c r="D50" s="36" t="s">
        <v>27</v>
      </c>
      <c r="E50" s="29"/>
      <c r="F50" s="29"/>
      <c r="G50" s="180">
        <f>IF($M$52=100,$M50,IF($N$52=100,$N50,IF($O$52=100,$O50,IF($P$52=100,$P50,IF($Q$52=100,$Q50,IF($R$52=100,$R50,$R50))))))</f>
        <v>0.1</v>
      </c>
      <c r="H50" s="176"/>
      <c r="I50" s="176"/>
      <c r="J50" s="176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1"/>
        <v>0.1</v>
      </c>
      <c r="P50" s="23">
        <f t="shared" si="32"/>
        <v>0.1</v>
      </c>
      <c r="Q50" s="23">
        <f t="shared" si="33"/>
        <v>0.1</v>
      </c>
      <c r="R50" s="23">
        <f t="shared" si="35"/>
        <v>0.1</v>
      </c>
    </row>
    <row r="51" spans="1:18" ht="21" customHeight="1" thickBot="1">
      <c r="A51" s="33" t="s">
        <v>48</v>
      </c>
      <c r="B51" s="180">
        <f>IF(B40="",0,SUM(B39-B40))</f>
        <v>0</v>
      </c>
      <c r="C51" s="29"/>
      <c r="D51" s="178">
        <f>IF(B50="",0,SUM(B41:B51))</f>
        <v>0</v>
      </c>
      <c r="E51" s="29"/>
      <c r="F51" s="29"/>
      <c r="G51" s="180">
        <f>IF(G50="",0,SUM(G41:G50))</f>
        <v>0.99999999999999989</v>
      </c>
      <c r="H51" s="176"/>
      <c r="I51" s="176"/>
      <c r="J51" s="176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147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BUWkHd7EohxiG37sJcbc1tzB1MFiFi09JydGVJVhFu71JjPCKd0QHXsAlcrO2WX/sVAivd7+y4OaVDUIBtT6AQ==" saltValue="q6OJyurjZRHwEwI0ppASOg==" spinCount="100000" sheet="1"/>
  <mergeCells count="6">
    <mergeCell ref="C39:D39"/>
    <mergeCell ref="D40:E40"/>
    <mergeCell ref="C4:D4"/>
    <mergeCell ref="D5:E5"/>
    <mergeCell ref="C21:D21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52"/>
  <sheetViews>
    <sheetView defaultGridColor="0" view="pageBreakPreview" topLeftCell="A16" colorId="22" zoomScale="75" zoomScaleNormal="60" workbookViewId="0">
      <pane xSplit="1" topLeftCell="B1" activePane="topRight" state="frozen"/>
      <selection pane="topRight" activeCell="A35" sqref="A35:B35"/>
    </sheetView>
  </sheetViews>
  <sheetFormatPr defaultColWidth="9.77734375" defaultRowHeight="15"/>
  <cols>
    <col min="1" max="1" width="20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31" ht="21" customHeight="1">
      <c r="A1" s="44" t="s">
        <v>251</v>
      </c>
      <c r="B1" s="23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1" customHeight="1">
      <c r="A2" s="44" t="s">
        <v>145</v>
      </c>
      <c r="B2" t="str">
        <f>IF('Proj Info'!B4="","",'Proj Info'!B4)</f>
        <v/>
      </c>
      <c r="S2" s="2"/>
      <c r="T2" s="45"/>
      <c r="U2" s="45"/>
      <c r="V2" s="45"/>
      <c r="W2" s="45"/>
      <c r="X2" s="46"/>
      <c r="Y2" s="46"/>
      <c r="Z2" s="45"/>
      <c r="AA2" s="2"/>
      <c r="AB2" s="2"/>
      <c r="AC2" s="2"/>
      <c r="AD2" s="2"/>
      <c r="AE2" s="2"/>
    </row>
    <row r="3" spans="1:31" ht="21" customHeight="1">
      <c r="A3" s="25" t="s">
        <v>146</v>
      </c>
      <c r="B3" s="26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S3" s="2"/>
      <c r="T3" s="2"/>
      <c r="U3" s="45"/>
      <c r="V3" s="45"/>
      <c r="W3" s="45"/>
      <c r="X3" s="46"/>
      <c r="Y3" s="46"/>
      <c r="Z3" s="45"/>
      <c r="AA3" s="2"/>
      <c r="AB3" s="2"/>
      <c r="AC3" s="2"/>
      <c r="AD3" s="2"/>
      <c r="AE3" s="2"/>
    </row>
    <row r="4" spans="1:31" ht="21" customHeight="1" thickBot="1">
      <c r="A4" s="202" t="s">
        <v>144</v>
      </c>
      <c r="B4" s="185"/>
      <c r="C4" s="287" t="s">
        <v>31</v>
      </c>
      <c r="D4" s="291"/>
      <c r="E4" s="177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S4" s="2"/>
      <c r="T4" s="47" t="s">
        <v>132</v>
      </c>
      <c r="U4" s="45"/>
      <c r="V4" s="45"/>
      <c r="W4" s="45"/>
      <c r="X4" s="2"/>
      <c r="Y4" s="48" t="s">
        <v>73</v>
      </c>
      <c r="Z4" s="45"/>
      <c r="AA4" s="2"/>
      <c r="AB4" s="2"/>
      <c r="AC4" s="2"/>
      <c r="AD4" s="2"/>
      <c r="AE4" s="2"/>
    </row>
    <row r="5" spans="1:31" ht="21" customHeight="1" thickTop="1">
      <c r="A5" s="33" t="s">
        <v>232</v>
      </c>
      <c r="B5" s="186"/>
      <c r="C5" s="29"/>
      <c r="D5" s="292" t="str">
        <f>IF(E4&lt;5,"",IF(E4&lt;99.5,"Check Weights.",IF(E4&gt;100.5,"Check Weights","")))</f>
        <v/>
      </c>
      <c r="E5" s="293"/>
      <c r="F5" s="29"/>
      <c r="G5" s="181">
        <f t="shared" ref="G5:G12" si="0">IF($M$14=100,$M5,IF($N$14=100,$N5,IF($O$14=100,$O5,IF($P$14=100,$P5,IF($Q$14=100,$Q5,IF($R$14=100,$R5,$R5))))))</f>
        <v>0.1</v>
      </c>
      <c r="H5" s="181">
        <f>IF(D12=0,0,100)</f>
        <v>0</v>
      </c>
      <c r="I5" s="182">
        <f t="shared" ref="I5:I11" si="1">IF(H5&gt;9.9,ROUND(H5,0),ROUND(H5,1))</f>
        <v>0</v>
      </c>
      <c r="J5" s="13" t="str">
        <f>IF('Proj Info'!B33=" "," ",'Proj Info'!B33)</f>
        <v/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S5" s="2"/>
      <c r="T5" s="49" t="s">
        <v>74</v>
      </c>
      <c r="U5" s="50"/>
      <c r="V5" s="50"/>
      <c r="W5" s="51"/>
      <c r="X5" s="257"/>
      <c r="Y5" s="257">
        <f>'Mix Info'!D25</f>
        <v>0</v>
      </c>
      <c r="Z5" s="52" t="e">
        <f>Y5/(SUM($Y$5:$Y$7))</f>
        <v>#DIV/0!</v>
      </c>
      <c r="AA5" s="2"/>
      <c r="AB5" s="2"/>
      <c r="AC5" s="2"/>
      <c r="AD5" s="2"/>
      <c r="AE5" s="2"/>
    </row>
    <row r="6" spans="1:31" ht="21" customHeight="1">
      <c r="A6" s="33" t="s">
        <v>233</v>
      </c>
      <c r="B6" s="186"/>
      <c r="C6" s="29"/>
      <c r="D6" s="31"/>
      <c r="E6" s="29"/>
      <c r="F6" s="29"/>
      <c r="G6" s="181">
        <f t="shared" si="0"/>
        <v>0.1</v>
      </c>
      <c r="H6" s="181">
        <f t="shared" ref="H6:H11" si="8">IF(H5=0,0,(H5-G6))</f>
        <v>0</v>
      </c>
      <c r="I6" s="182">
        <f t="shared" si="1"/>
        <v>0</v>
      </c>
      <c r="J6" s="13" t="str">
        <f>IF('Proj Info'!B34=" "," ",'Proj Info'!B34)</f>
        <v/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S6" s="2"/>
      <c r="T6" s="53" t="s">
        <v>75</v>
      </c>
      <c r="U6" s="54"/>
      <c r="V6" s="54"/>
      <c r="W6" s="55"/>
      <c r="X6" s="258"/>
      <c r="Y6" s="259">
        <f>'Mix Info'!D26</f>
        <v>0</v>
      </c>
      <c r="Z6" s="56" t="e">
        <f>Y6/(SUM($Y$5:$Y$7))</f>
        <v>#DIV/0!</v>
      </c>
      <c r="AA6" s="2"/>
      <c r="AB6" s="2"/>
      <c r="AC6" s="2"/>
      <c r="AD6" s="2"/>
      <c r="AE6" s="2"/>
    </row>
    <row r="7" spans="1:31" ht="21" customHeight="1" thickBot="1">
      <c r="A7" s="33" t="s">
        <v>234</v>
      </c>
      <c r="B7" s="186"/>
      <c r="C7" s="29"/>
      <c r="D7" s="29"/>
      <c r="E7" s="29"/>
      <c r="F7" s="29"/>
      <c r="G7" s="181">
        <f t="shared" si="0"/>
        <v>0.1</v>
      </c>
      <c r="H7" s="181">
        <f t="shared" si="8"/>
        <v>0</v>
      </c>
      <c r="I7" s="182">
        <f t="shared" si="1"/>
        <v>0</v>
      </c>
      <c r="J7" s="13" t="str">
        <f>IF('Proj Info'!B35=" "," ",'Proj Info'!B35)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S7" s="2"/>
      <c r="T7" s="57" t="s">
        <v>76</v>
      </c>
      <c r="U7" s="58"/>
      <c r="V7" s="58"/>
      <c r="W7" s="59"/>
      <c r="X7" s="260"/>
      <c r="Y7" s="261">
        <f>'Mix Info'!D27</f>
        <v>0</v>
      </c>
      <c r="Z7" s="60" t="e">
        <f>Y7/(SUM($Y$5:Y$7))</f>
        <v>#DIV/0!</v>
      </c>
      <c r="AA7" s="2"/>
      <c r="AB7" s="2"/>
      <c r="AC7" s="2"/>
      <c r="AD7" s="2"/>
      <c r="AE7" s="2"/>
    </row>
    <row r="8" spans="1:31" ht="21" customHeight="1" thickTop="1">
      <c r="A8" s="33" t="s">
        <v>235</v>
      </c>
      <c r="B8" s="186"/>
      <c r="C8" s="29"/>
      <c r="D8" s="29"/>
      <c r="E8" s="29"/>
      <c r="F8" s="29"/>
      <c r="G8" s="181">
        <f t="shared" si="0"/>
        <v>0.1</v>
      </c>
      <c r="H8" s="181">
        <f t="shared" si="8"/>
        <v>0</v>
      </c>
      <c r="I8" s="182">
        <f t="shared" si="1"/>
        <v>0</v>
      </c>
      <c r="J8" s="13" t="str">
        <f>IF('Proj Info'!B36=" "," ",'Proj Info'!B36)</f>
        <v/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1" customHeight="1">
      <c r="A9" s="33" t="s">
        <v>236</v>
      </c>
      <c r="B9" s="186"/>
      <c r="C9" s="29"/>
      <c r="D9" s="29"/>
      <c r="E9" s="29"/>
      <c r="F9" s="29"/>
      <c r="G9" s="181">
        <f t="shared" si="0"/>
        <v>0.1</v>
      </c>
      <c r="H9" s="181">
        <f t="shared" si="8"/>
        <v>0</v>
      </c>
      <c r="I9" s="182">
        <f t="shared" si="1"/>
        <v>0</v>
      </c>
      <c r="J9" s="13" t="str">
        <f>IF('Proj Info'!B37=" "," ",'Proj Info'!B37)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1" customHeight="1">
      <c r="A10" s="33" t="s">
        <v>237</v>
      </c>
      <c r="B10" s="186"/>
      <c r="C10" s="29"/>
      <c r="D10" s="29"/>
      <c r="E10" s="29"/>
      <c r="F10" s="29"/>
      <c r="G10" s="181">
        <f t="shared" si="0"/>
        <v>0.1</v>
      </c>
      <c r="H10" s="181">
        <f t="shared" si="8"/>
        <v>0</v>
      </c>
      <c r="I10" s="182">
        <f t="shared" si="1"/>
        <v>0</v>
      </c>
      <c r="J10" s="13" t="str">
        <f>IF('Proj Info'!B38=" "," ",'Proj Info'!B38)</f>
        <v/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1" customHeight="1" thickBot="1">
      <c r="A11" s="33" t="s">
        <v>238</v>
      </c>
      <c r="B11" s="186"/>
      <c r="C11" s="29"/>
      <c r="D11" s="36" t="s">
        <v>27</v>
      </c>
      <c r="E11" s="29"/>
      <c r="F11" s="29"/>
      <c r="G11" s="181">
        <f t="shared" si="0"/>
        <v>0.1</v>
      </c>
      <c r="H11" s="181">
        <f t="shared" si="8"/>
        <v>0</v>
      </c>
      <c r="I11" s="182">
        <f t="shared" si="1"/>
        <v>0</v>
      </c>
      <c r="J11" s="13" t="str">
        <f>IF('Proj Info'!B39=" "," ",'Proj Info'!B39)</f>
        <v/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1" customHeight="1" thickBot="1">
      <c r="A12" s="33" t="s">
        <v>39</v>
      </c>
      <c r="B12" s="179"/>
      <c r="C12" s="29"/>
      <c r="D12" s="184">
        <f>IF(B12="",0,SUM(B5:B12))</f>
        <v>0</v>
      </c>
      <c r="E12" s="29"/>
      <c r="F12" s="29"/>
      <c r="G12" s="181">
        <f t="shared" si="0"/>
        <v>0.1</v>
      </c>
      <c r="H12" s="37"/>
      <c r="I12" s="37"/>
      <c r="J12" s="203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S12" s="2"/>
      <c r="T12" s="47" t="s">
        <v>126</v>
      </c>
      <c r="U12" s="45"/>
      <c r="V12" s="45"/>
      <c r="W12" s="45"/>
      <c r="X12" s="48"/>
      <c r="Y12" s="48"/>
      <c r="Z12" s="45"/>
      <c r="AA12" s="84"/>
      <c r="AB12" s="84"/>
      <c r="AC12" s="85"/>
      <c r="AD12" s="2"/>
      <c r="AE12" s="2"/>
    </row>
    <row r="13" spans="1:31" ht="21" customHeight="1" thickBot="1">
      <c r="A13" s="229" t="s">
        <v>239</v>
      </c>
      <c r="B13" s="187"/>
      <c r="C13" s="37" t="s">
        <v>37</v>
      </c>
      <c r="D13" s="29"/>
      <c r="E13" s="29"/>
      <c r="F13" s="29"/>
      <c r="G13" s="181">
        <f>SUM(G5:G12)</f>
        <v>0.79999999999999993</v>
      </c>
      <c r="H13" s="183"/>
      <c r="I13" s="183"/>
      <c r="J13" s="203"/>
      <c r="K13" s="14"/>
      <c r="L13" s="14"/>
      <c r="M13" s="16"/>
      <c r="N13" s="17"/>
      <c r="O13" s="19"/>
      <c r="P13" s="19"/>
      <c r="Q13" s="19"/>
      <c r="R13" s="19"/>
      <c r="S13" s="2"/>
      <c r="T13" s="2"/>
      <c r="U13" s="61"/>
      <c r="V13" s="61"/>
      <c r="W13" s="61"/>
      <c r="X13" s="86"/>
      <c r="Y13" s="86"/>
      <c r="Z13" s="61"/>
      <c r="AA13" s="61"/>
      <c r="AB13" s="61"/>
      <c r="AC13" s="2"/>
      <c r="AD13" s="2"/>
      <c r="AE13" s="2"/>
    </row>
    <row r="14" spans="1:31" ht="21" customHeight="1" thickTop="1">
      <c r="A14" s="230" t="s">
        <v>240</v>
      </c>
      <c r="B14" s="188"/>
      <c r="C14" s="37" t="s">
        <v>38</v>
      </c>
      <c r="D14" s="29"/>
      <c r="E14" s="29"/>
      <c r="F14" s="29"/>
      <c r="G14" s="183"/>
      <c r="H14" s="38" t="s">
        <v>17</v>
      </c>
      <c r="I14" s="180">
        <f>ROUND(IF(B17=0,0,SUM(B17/B13)*100),1)</f>
        <v>0</v>
      </c>
      <c r="J14" s="13" t="str">
        <f>IF('Proj Info'!B40=" "," ",'Proj Info'!B40)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S14" s="2"/>
      <c r="T14" s="62"/>
      <c r="U14" s="63" t="s">
        <v>13</v>
      </c>
      <c r="V14" s="63" t="s">
        <v>14</v>
      </c>
      <c r="W14" s="63" t="s">
        <v>15</v>
      </c>
      <c r="X14" s="63"/>
      <c r="Y14" s="63" t="s">
        <v>77</v>
      </c>
      <c r="Z14" s="63" t="s">
        <v>78</v>
      </c>
      <c r="AA14" s="63" t="s">
        <v>78</v>
      </c>
      <c r="AB14" s="63" t="s">
        <v>78</v>
      </c>
      <c r="AC14" s="64"/>
      <c r="AD14" s="2"/>
      <c r="AE14" s="2"/>
    </row>
    <row r="15" spans="1:31" ht="21" customHeight="1">
      <c r="A15" s="33" t="s">
        <v>39</v>
      </c>
      <c r="B15" s="179"/>
      <c r="C15" s="37" t="s">
        <v>40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S15" s="2"/>
      <c r="T15" s="65" t="s">
        <v>79</v>
      </c>
      <c r="U15" s="66" t="s">
        <v>16</v>
      </c>
      <c r="V15" s="66" t="s">
        <v>16</v>
      </c>
      <c r="W15" s="66" t="s">
        <v>16</v>
      </c>
      <c r="X15" s="66"/>
      <c r="Y15" s="66" t="s">
        <v>80</v>
      </c>
      <c r="Z15" s="66" t="s">
        <v>81</v>
      </c>
      <c r="AA15" s="66" t="s">
        <v>82</v>
      </c>
      <c r="AB15" s="66" t="s">
        <v>83</v>
      </c>
      <c r="AC15" s="67" t="s">
        <v>84</v>
      </c>
      <c r="AD15" s="2"/>
      <c r="AE15" s="2"/>
    </row>
    <row r="16" spans="1:31" ht="21" customHeight="1">
      <c r="A16" s="33" t="s">
        <v>41</v>
      </c>
      <c r="B16" s="180">
        <f>IF(B14="",0,SUM(B13-B14))</f>
        <v>0</v>
      </c>
      <c r="C16" s="37" t="s">
        <v>42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S16" s="2"/>
      <c r="T16" s="65" t="s">
        <v>85</v>
      </c>
      <c r="U16" s="66" t="s">
        <v>71</v>
      </c>
      <c r="V16" s="66" t="s">
        <v>71</v>
      </c>
      <c r="W16" s="66" t="s">
        <v>71</v>
      </c>
      <c r="X16" s="66"/>
      <c r="Y16" s="66" t="s">
        <v>86</v>
      </c>
      <c r="Z16" s="66" t="s">
        <v>86</v>
      </c>
      <c r="AA16" s="66" t="s">
        <v>86</v>
      </c>
      <c r="AB16" s="66" t="s">
        <v>86</v>
      </c>
      <c r="AC16" s="68" t="s">
        <v>81</v>
      </c>
      <c r="AD16" s="2"/>
      <c r="AE16" s="2"/>
    </row>
    <row r="17" spans="1:31" ht="21" customHeight="1" thickBot="1">
      <c r="A17" s="33" t="s">
        <v>43</v>
      </c>
      <c r="B17" s="189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S17" s="2"/>
      <c r="T17" s="69"/>
      <c r="U17" s="70" t="s">
        <v>87</v>
      </c>
      <c r="V17" s="70" t="s">
        <v>87</v>
      </c>
      <c r="W17" s="70" t="s">
        <v>87</v>
      </c>
      <c r="X17" s="70"/>
      <c r="Y17" s="70" t="s">
        <v>87</v>
      </c>
      <c r="Z17" s="70" t="s">
        <v>87</v>
      </c>
      <c r="AA17" s="70" t="s">
        <v>87</v>
      </c>
      <c r="AB17" s="70" t="s">
        <v>87</v>
      </c>
      <c r="AC17" s="71"/>
      <c r="AD17" s="2"/>
      <c r="AE17" s="2"/>
    </row>
    <row r="18" spans="1:31" ht="21" customHeight="1" thickTop="1">
      <c r="A18" s="33" t="s">
        <v>241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S18" s="2"/>
      <c r="T18" s="72"/>
      <c r="U18" s="73"/>
      <c r="V18" s="73"/>
      <c r="W18" s="73"/>
      <c r="X18" s="74"/>
      <c r="Y18" s="74"/>
      <c r="Z18" s="75"/>
      <c r="AA18" s="55"/>
      <c r="AB18" s="55"/>
      <c r="AC18" s="76"/>
      <c r="AD18" s="2"/>
      <c r="AE18" s="2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S19" s="2"/>
      <c r="T19" s="77" t="s">
        <v>88</v>
      </c>
      <c r="U19" s="78">
        <f>'Grad 4'!I5</f>
        <v>0</v>
      </c>
      <c r="V19" s="78">
        <f>'Grad 4'!I22</f>
        <v>0</v>
      </c>
      <c r="W19" s="78">
        <v>100</v>
      </c>
      <c r="X19" s="79" t="str">
        <f>IF($B$4=0," ",IF($B$20=" ",U19*$Z$5+W19*$Z$7,U19*$Z$5+V19*$Z$6+W19*Z$7))</f>
        <v xml:space="preserve"> </v>
      </c>
      <c r="Y19" s="247" t="str">
        <f>X19</f>
        <v xml:space="preserve"> </v>
      </c>
      <c r="Z19" s="78">
        <f>'Grad 1'!Z19</f>
        <v>100</v>
      </c>
      <c r="AA19" s="92">
        <f t="shared" ref="AA19:AA24" si="10">IF((Z19-5)&gt;0,Z19-5,0)</f>
        <v>95</v>
      </c>
      <c r="AB19" s="92">
        <f t="shared" ref="AB19:AB24" si="11">IF(Z19+5&gt;100,100,Z19+5)</f>
        <v>100</v>
      </c>
      <c r="AC19" s="76" t="str">
        <f t="shared" ref="AC19:AC30" si="12">IF(AND(AA19&lt;=X19,X19&lt;=AB19),"Yes","No")</f>
        <v>No</v>
      </c>
      <c r="AD19" s="14">
        <f>IF(AC19="YES",1,0)</f>
        <v>0</v>
      </c>
      <c r="AE19" s="2" t="str">
        <f>CONCATENATE(AA19,"-",AB19)</f>
        <v>95-100</v>
      </c>
    </row>
    <row r="20" spans="1:31" ht="21" customHeight="1">
      <c r="A20" s="25" t="s">
        <v>242</v>
      </c>
      <c r="B20" s="26"/>
      <c r="C20" s="27"/>
      <c r="D20" s="28"/>
      <c r="E20" s="29"/>
      <c r="F20" s="29"/>
      <c r="G20" s="10" t="s">
        <v>44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S20" s="2"/>
      <c r="T20" s="77" t="s">
        <v>59</v>
      </c>
      <c r="U20" s="78">
        <f>'Grad 4'!I6</f>
        <v>0</v>
      </c>
      <c r="V20" s="78">
        <f>'Grad 4'!I23</f>
        <v>0</v>
      </c>
      <c r="W20" s="78">
        <v>100</v>
      </c>
      <c r="X20" s="79" t="str">
        <f t="shared" ref="X20:X30" si="13">IF($B$4=0," ",IF($B$20=" ",U20*$Z$5+W20*$Z$7,U20*$Z$5+V20*$Z$6+W20*Z$7))</f>
        <v xml:space="preserve"> </v>
      </c>
      <c r="Y20" s="247" t="str">
        <f t="shared" ref="Y20:Y30" si="14">X20</f>
        <v xml:space="preserve"> </v>
      </c>
      <c r="Z20" s="78">
        <f>'Grad 1'!Z20</f>
        <v>0</v>
      </c>
      <c r="AA20" s="92">
        <f t="shared" si="10"/>
        <v>0</v>
      </c>
      <c r="AB20" s="92">
        <f t="shared" si="11"/>
        <v>5</v>
      </c>
      <c r="AC20" s="76" t="str">
        <f t="shared" si="12"/>
        <v>No</v>
      </c>
      <c r="AD20" s="14">
        <f t="shared" ref="AD20:AD30" si="15">IF(AC20="YES",1,0)</f>
        <v>0</v>
      </c>
      <c r="AE20" s="2" t="str">
        <f t="shared" ref="AE20:AE30" si="16">CONCATENATE(AA20,"-",AB20)</f>
        <v>0-5</v>
      </c>
    </row>
    <row r="21" spans="1:31" ht="21" customHeight="1" thickBot="1">
      <c r="A21" s="231" t="s">
        <v>239</v>
      </c>
      <c r="B21" s="185"/>
      <c r="C21" s="287" t="s">
        <v>31</v>
      </c>
      <c r="D21" s="291"/>
      <c r="E21" s="177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S21" s="2"/>
      <c r="T21" s="77" t="s">
        <v>60</v>
      </c>
      <c r="U21" s="78">
        <f>'Grad 4'!I7</f>
        <v>0</v>
      </c>
      <c r="V21" s="78">
        <f>'Grad 4'!I24</f>
        <v>0</v>
      </c>
      <c r="W21" s="78">
        <v>100</v>
      </c>
      <c r="X21" s="79" t="str">
        <f t="shared" si="13"/>
        <v xml:space="preserve"> </v>
      </c>
      <c r="Y21" s="247" t="str">
        <f t="shared" si="14"/>
        <v xml:space="preserve"> </v>
      </c>
      <c r="Z21" s="78">
        <f>'Grad 1'!Z21</f>
        <v>0</v>
      </c>
      <c r="AA21" s="92">
        <f t="shared" si="10"/>
        <v>0</v>
      </c>
      <c r="AB21" s="92">
        <f t="shared" si="11"/>
        <v>5</v>
      </c>
      <c r="AC21" s="76" t="str">
        <f t="shared" si="12"/>
        <v>No</v>
      </c>
      <c r="AD21" s="14">
        <f t="shared" si="15"/>
        <v>0</v>
      </c>
      <c r="AE21" s="2" t="str">
        <f t="shared" si="16"/>
        <v>0-5</v>
      </c>
    </row>
    <row r="22" spans="1:31" ht="21" customHeight="1">
      <c r="A22" s="33" t="s">
        <v>232</v>
      </c>
      <c r="B22" s="186"/>
      <c r="C22" s="29"/>
      <c r="D22" s="292" t="str">
        <f>IF(E21&lt;5,"",IF(E21&lt;99.5,"Check Weights.",IF(E21&gt;100.5,"Check Weights","")))</f>
        <v/>
      </c>
      <c r="E22" s="293"/>
      <c r="F22" s="29"/>
      <c r="G22" s="181">
        <f>IF($M$22=100,$M22,IF($N$22=100,$N22,IF($O$22=100,$O22,IF($P$22=100,$P22,IF($Q$22=100,$Q22,IF($R$22=100,$R22,$R22))))))</f>
        <v>0.1</v>
      </c>
      <c r="H22" s="181">
        <f>IF(D29=0,0,100)</f>
        <v>0</v>
      </c>
      <c r="I22" s="182">
        <f t="shared" ref="I22:I28" si="17">IF(H22&gt;9.9,ROUND(H22,0),ROUND(H22,1))</f>
        <v>0</v>
      </c>
      <c r="J22" s="191"/>
      <c r="K22" s="17">
        <f>LARGE(M22:M29,1)</f>
        <v>0</v>
      </c>
      <c r="L22" s="17">
        <f>IF(M31&lt;100,(K22+0.1),IF(M31&gt;100,(K22-0.1),K22))</f>
        <v>0.1</v>
      </c>
      <c r="M22" s="18">
        <f t="shared" ref="M22:M29" si="18">ROUND(IF(B22="",0,SUM(B22/$B$21)*100),1)</f>
        <v>0</v>
      </c>
      <c r="N22" s="15">
        <f t="shared" ref="N22:N29" si="19">IF(M22=$K$22,$L$22,M22)</f>
        <v>0.1</v>
      </c>
      <c r="O22" s="15">
        <f t="shared" ref="O22:O29" si="20">IF(N22=K$23,L$23,N22)</f>
        <v>0.1</v>
      </c>
      <c r="P22" s="15">
        <f t="shared" ref="P22:P29" si="21">IF(O22=K$24,L$24,O22)</f>
        <v>0.1</v>
      </c>
      <c r="Q22" s="15">
        <f t="shared" ref="Q22:Q29" si="22">IF(P22=K$25,L$25,P22)</f>
        <v>0.1</v>
      </c>
      <c r="R22" s="15">
        <f t="shared" ref="R22:R29" si="23">IF(Q22=K$26,L$26,Q22)</f>
        <v>0.1</v>
      </c>
      <c r="S22" s="2"/>
      <c r="T22" s="77" t="s">
        <v>61</v>
      </c>
      <c r="U22" s="78">
        <f>'Grad 4'!I8</f>
        <v>0</v>
      </c>
      <c r="V22" s="78">
        <f>'Grad 4'!I25</f>
        <v>0</v>
      </c>
      <c r="W22" s="78">
        <f>'Grad 4'!I41</f>
        <v>0</v>
      </c>
      <c r="X22" s="79" t="str">
        <f t="shared" si="13"/>
        <v xml:space="preserve"> </v>
      </c>
      <c r="Y22" s="247" t="str">
        <f t="shared" si="14"/>
        <v xml:space="preserve"> </v>
      </c>
      <c r="Z22" s="78">
        <f>'Grad 1'!Z22</f>
        <v>0</v>
      </c>
      <c r="AA22" s="92">
        <f t="shared" si="10"/>
        <v>0</v>
      </c>
      <c r="AB22" s="92">
        <f t="shared" si="11"/>
        <v>5</v>
      </c>
      <c r="AC22" s="76" t="str">
        <f t="shared" si="12"/>
        <v>No</v>
      </c>
      <c r="AD22" s="14">
        <f t="shared" si="15"/>
        <v>0</v>
      </c>
      <c r="AE22" s="2" t="str">
        <f t="shared" si="16"/>
        <v>0-5</v>
      </c>
    </row>
    <row r="23" spans="1:31" ht="21" customHeight="1">
      <c r="A23" s="33" t="s">
        <v>233</v>
      </c>
      <c r="B23" s="186"/>
      <c r="C23" s="29"/>
      <c r="D23" s="31"/>
      <c r="E23" s="29"/>
      <c r="F23" s="29"/>
      <c r="G23" s="181">
        <f>IF($M$23=100,$M23,IF($N$23=100,$N23,IF($O$23=100,$O23,IF($P$23=100,$P23,IF($Q$23=100,$Q23,IF($R$23=100,$R23,$R23))))))</f>
        <v>0.1</v>
      </c>
      <c r="H23" s="181">
        <f t="shared" ref="H23:H28" si="24">IF(H22=0,0,(H22-G23))</f>
        <v>0</v>
      </c>
      <c r="I23" s="182">
        <f t="shared" si="17"/>
        <v>0</v>
      </c>
      <c r="J23" s="191"/>
      <c r="K23" s="17">
        <f>LARGE(M22:M29,2)</f>
        <v>0</v>
      </c>
      <c r="L23" s="17">
        <f>IF(N31&gt;100,K23-0.1,IF(N31&lt;100,K23+0.1,K23))</f>
        <v>0.1</v>
      </c>
      <c r="M23" s="18">
        <f t="shared" si="18"/>
        <v>0</v>
      </c>
      <c r="N23" s="15">
        <f t="shared" si="19"/>
        <v>0.1</v>
      </c>
      <c r="O23" s="15">
        <f t="shared" si="20"/>
        <v>0.1</v>
      </c>
      <c r="P23" s="15">
        <f t="shared" si="21"/>
        <v>0.1</v>
      </c>
      <c r="Q23" s="15">
        <f t="shared" si="22"/>
        <v>0.1</v>
      </c>
      <c r="R23" s="15">
        <f t="shared" si="23"/>
        <v>0.1</v>
      </c>
      <c r="S23" s="2"/>
      <c r="T23" s="77" t="s">
        <v>62</v>
      </c>
      <c r="U23" s="78">
        <f>'Grad 4'!I9</f>
        <v>0</v>
      </c>
      <c r="V23" s="78">
        <f>'Grad 4'!I26</f>
        <v>0</v>
      </c>
      <c r="W23" s="78">
        <f>'Grad 4'!I42</f>
        <v>0</v>
      </c>
      <c r="X23" s="79" t="str">
        <f t="shared" si="13"/>
        <v xml:space="preserve"> </v>
      </c>
      <c r="Y23" s="247" t="str">
        <f t="shared" si="14"/>
        <v xml:space="preserve"> </v>
      </c>
      <c r="Z23" s="78">
        <f>'Grad 1'!Z23</f>
        <v>0</v>
      </c>
      <c r="AA23" s="92">
        <f t="shared" si="10"/>
        <v>0</v>
      </c>
      <c r="AB23" s="92">
        <f t="shared" si="11"/>
        <v>5</v>
      </c>
      <c r="AC23" s="76" t="str">
        <f t="shared" si="12"/>
        <v>No</v>
      </c>
      <c r="AD23" s="14">
        <f t="shared" si="15"/>
        <v>0</v>
      </c>
      <c r="AE23" s="2" t="str">
        <f t="shared" si="16"/>
        <v>0-5</v>
      </c>
    </row>
    <row r="24" spans="1:31" ht="21" customHeight="1">
      <c r="A24" s="33" t="s">
        <v>234</v>
      </c>
      <c r="B24" s="186"/>
      <c r="C24" s="29"/>
      <c r="D24" s="29"/>
      <c r="E24" s="29"/>
      <c r="F24" s="29"/>
      <c r="G24" s="181">
        <f t="shared" ref="G24:G29" si="25">IF($M$14=100,$M24,IF($N$14=100,$N24,IF($O$14=100,$O24,IF($P$14=100,$P24,IF($Q$14=100,$Q24,IF($R$14=100,$R24,$R24))))))</f>
        <v>0.1</v>
      </c>
      <c r="H24" s="181">
        <f t="shared" si="24"/>
        <v>0</v>
      </c>
      <c r="I24" s="182">
        <f t="shared" si="17"/>
        <v>0</v>
      </c>
      <c r="J24" s="191" t="str">
        <f>IF('Proj Info'!B41=" "," ",'Proj Info'!B41)</f>
        <v/>
      </c>
      <c r="K24" s="17">
        <f>LARGE(M22:M29,3)</f>
        <v>0</v>
      </c>
      <c r="L24" s="17">
        <f>IF(O31&gt;100,K24-0.1,IF(O31&lt;100,K24+0.1,K24))</f>
        <v>0.1</v>
      </c>
      <c r="M24" s="18">
        <f t="shared" si="18"/>
        <v>0</v>
      </c>
      <c r="N24" s="15">
        <f t="shared" si="19"/>
        <v>0.1</v>
      </c>
      <c r="O24" s="15">
        <f t="shared" si="20"/>
        <v>0.1</v>
      </c>
      <c r="P24" s="15">
        <f t="shared" si="21"/>
        <v>0.1</v>
      </c>
      <c r="Q24" s="15">
        <f t="shared" si="22"/>
        <v>0.1</v>
      </c>
      <c r="R24" s="15">
        <f t="shared" si="23"/>
        <v>0.1</v>
      </c>
      <c r="S24" s="2"/>
      <c r="T24" s="77" t="s">
        <v>63</v>
      </c>
      <c r="U24" s="78">
        <f>'Grad 4'!I10</f>
        <v>0</v>
      </c>
      <c r="V24" s="78">
        <f>'Grad 4'!I27</f>
        <v>0</v>
      </c>
      <c r="W24" s="78">
        <f>'Grad 4'!I43</f>
        <v>0</v>
      </c>
      <c r="X24" s="79" t="str">
        <f t="shared" si="13"/>
        <v xml:space="preserve"> </v>
      </c>
      <c r="Y24" s="247" t="str">
        <f t="shared" si="14"/>
        <v xml:space="preserve"> </v>
      </c>
      <c r="Z24" s="78">
        <f>'Grad 1'!Z24</f>
        <v>0</v>
      </c>
      <c r="AA24" s="92">
        <f t="shared" si="10"/>
        <v>0</v>
      </c>
      <c r="AB24" s="92">
        <f t="shared" si="11"/>
        <v>5</v>
      </c>
      <c r="AC24" s="76" t="str">
        <f t="shared" si="12"/>
        <v>No</v>
      </c>
      <c r="AD24" s="14">
        <f t="shared" si="15"/>
        <v>0</v>
      </c>
      <c r="AE24" s="2" t="str">
        <f t="shared" si="16"/>
        <v>0-5</v>
      </c>
    </row>
    <row r="25" spans="1:31" ht="21" customHeight="1">
      <c r="A25" s="33" t="s">
        <v>235</v>
      </c>
      <c r="B25" s="186"/>
      <c r="C25" s="29"/>
      <c r="D25" s="29"/>
      <c r="E25" s="29"/>
      <c r="F25" s="29"/>
      <c r="G25" s="181">
        <f t="shared" si="25"/>
        <v>0.1</v>
      </c>
      <c r="H25" s="181">
        <f t="shared" si="24"/>
        <v>0</v>
      </c>
      <c r="I25" s="182">
        <f t="shared" si="17"/>
        <v>0</v>
      </c>
      <c r="J25" s="191" t="str">
        <f>IF('Proj Info'!B42=" "," ",'Proj Info'!B42)</f>
        <v/>
      </c>
      <c r="K25" s="17">
        <f>LARGE(M22:M29,4)</f>
        <v>0</v>
      </c>
      <c r="L25" s="17">
        <f>IF(P31&gt;100,K25-0.1,IF(P31&lt;100,K25+0.1,K25))</f>
        <v>0.1</v>
      </c>
      <c r="M25" s="18">
        <f t="shared" si="18"/>
        <v>0</v>
      </c>
      <c r="N25" s="15">
        <f t="shared" si="19"/>
        <v>0.1</v>
      </c>
      <c r="O25" s="15">
        <f t="shared" si="20"/>
        <v>0.1</v>
      </c>
      <c r="P25" s="15">
        <f t="shared" si="21"/>
        <v>0.1</v>
      </c>
      <c r="Q25" s="15">
        <f t="shared" si="22"/>
        <v>0.1</v>
      </c>
      <c r="R25" s="15">
        <f t="shared" si="23"/>
        <v>0.1</v>
      </c>
      <c r="S25" s="2"/>
      <c r="T25" s="77" t="s">
        <v>64</v>
      </c>
      <c r="U25" s="78">
        <f>'Grad 4'!I11</f>
        <v>0</v>
      </c>
      <c r="V25" s="78">
        <f>'Grad 4'!I28</f>
        <v>0</v>
      </c>
      <c r="W25" s="78">
        <f>'Grad 4'!I44</f>
        <v>0</v>
      </c>
      <c r="X25" s="79" t="str">
        <f t="shared" si="13"/>
        <v xml:space="preserve"> </v>
      </c>
      <c r="Y25" s="247" t="str">
        <f t="shared" si="14"/>
        <v xml:space="preserve"> </v>
      </c>
      <c r="Z25" s="78">
        <f>'Grad 1'!Z25</f>
        <v>0</v>
      </c>
      <c r="AA25" s="92">
        <f>IF((Z25-4)&gt;0,Z25-4,0)</f>
        <v>0</v>
      </c>
      <c r="AB25" s="92">
        <f>Z25+4</f>
        <v>4</v>
      </c>
      <c r="AC25" s="76" t="str">
        <f t="shared" si="12"/>
        <v>No</v>
      </c>
      <c r="AD25" s="14">
        <f t="shared" si="15"/>
        <v>0</v>
      </c>
      <c r="AE25" s="2" t="str">
        <f t="shared" si="16"/>
        <v>0-4</v>
      </c>
    </row>
    <row r="26" spans="1:31" ht="21" customHeight="1">
      <c r="A26" s="33" t="s">
        <v>236</v>
      </c>
      <c r="B26" s="186"/>
      <c r="C26" s="29"/>
      <c r="D26" s="29"/>
      <c r="E26" s="29"/>
      <c r="F26" s="29"/>
      <c r="G26" s="181">
        <f t="shared" si="25"/>
        <v>0.1</v>
      </c>
      <c r="H26" s="181">
        <f t="shared" si="24"/>
        <v>0</v>
      </c>
      <c r="I26" s="182">
        <f t="shared" si="17"/>
        <v>0</v>
      </c>
      <c r="J26" s="191" t="str">
        <f>IF('Proj Info'!B43=" "," ",'Proj Info'!B43)</f>
        <v/>
      </c>
      <c r="K26" s="17">
        <f>LARGE(M22:M29,5)</f>
        <v>0</v>
      </c>
      <c r="L26" s="17">
        <f>IF(Q31&gt;100,K26-0.1,IF(Q31&lt;100,K26+0.1,K26))</f>
        <v>0.1</v>
      </c>
      <c r="M26" s="18">
        <f t="shared" si="18"/>
        <v>0</v>
      </c>
      <c r="N26" s="15">
        <f t="shared" si="19"/>
        <v>0.1</v>
      </c>
      <c r="O26" s="15">
        <f t="shared" si="20"/>
        <v>0.1</v>
      </c>
      <c r="P26" s="15">
        <f t="shared" si="21"/>
        <v>0.1</v>
      </c>
      <c r="Q26" s="15">
        <f t="shared" si="22"/>
        <v>0.1</v>
      </c>
      <c r="R26" s="15">
        <f t="shared" si="23"/>
        <v>0.1</v>
      </c>
      <c r="S26" s="2"/>
      <c r="T26" s="77" t="s">
        <v>65</v>
      </c>
      <c r="U26" s="80">
        <f>U25-($U$25-$U$30)/5</f>
        <v>0</v>
      </c>
      <c r="V26" s="80">
        <f>V25-($V$25-$V$30)/5</f>
        <v>0</v>
      </c>
      <c r="W26" s="78">
        <f>'Grad 4'!I45</f>
        <v>0</v>
      </c>
      <c r="X26" s="79" t="str">
        <f t="shared" si="13"/>
        <v xml:space="preserve"> </v>
      </c>
      <c r="Y26" s="247" t="str">
        <f t="shared" si="14"/>
        <v xml:space="preserve"> </v>
      </c>
      <c r="Z26" s="78">
        <f>'Grad 1'!Z26</f>
        <v>0</v>
      </c>
      <c r="AA26" s="92">
        <f>IF((Z26-4)&gt;0,Z26-4,0)</f>
        <v>0</v>
      </c>
      <c r="AB26" s="92">
        <f>Z26+4</f>
        <v>4</v>
      </c>
      <c r="AC26" s="76" t="str">
        <f t="shared" si="12"/>
        <v>No</v>
      </c>
      <c r="AD26" s="14">
        <f t="shared" si="15"/>
        <v>0</v>
      </c>
      <c r="AE26" s="2" t="str">
        <f t="shared" si="16"/>
        <v>0-4</v>
      </c>
    </row>
    <row r="27" spans="1:31" ht="21" customHeight="1">
      <c r="A27" s="33" t="s">
        <v>237</v>
      </c>
      <c r="B27" s="186"/>
      <c r="C27" s="29"/>
      <c r="D27" s="29"/>
      <c r="E27" s="29"/>
      <c r="F27" s="29"/>
      <c r="G27" s="181">
        <f t="shared" si="25"/>
        <v>0.1</v>
      </c>
      <c r="H27" s="181">
        <f t="shared" si="24"/>
        <v>0</v>
      </c>
      <c r="I27" s="182">
        <f t="shared" si="17"/>
        <v>0</v>
      </c>
      <c r="J27" s="191" t="str">
        <f>IF('Proj Info'!B44=" "," ",'Proj Info'!B44)</f>
        <v/>
      </c>
      <c r="K27" s="17"/>
      <c r="L27" s="17"/>
      <c r="M27" s="18">
        <f t="shared" si="18"/>
        <v>0</v>
      </c>
      <c r="N27" s="15">
        <f t="shared" si="19"/>
        <v>0.1</v>
      </c>
      <c r="O27" s="15">
        <f t="shared" si="20"/>
        <v>0.1</v>
      </c>
      <c r="P27" s="15">
        <f t="shared" si="21"/>
        <v>0.1</v>
      </c>
      <c r="Q27" s="15">
        <f t="shared" si="22"/>
        <v>0.1</v>
      </c>
      <c r="R27" s="15">
        <f t="shared" si="23"/>
        <v>0.1</v>
      </c>
      <c r="S27" s="2"/>
      <c r="T27" s="77" t="s">
        <v>66</v>
      </c>
      <c r="U27" s="80">
        <f>U26-($U$25-$U$30)/5</f>
        <v>0</v>
      </c>
      <c r="V27" s="80">
        <f>V26-($V$25-$V$30)/5</f>
        <v>0</v>
      </c>
      <c r="W27" s="78">
        <f>'Grad 4'!I46</f>
        <v>0</v>
      </c>
      <c r="X27" s="79" t="str">
        <f t="shared" si="13"/>
        <v xml:space="preserve"> </v>
      </c>
      <c r="Y27" s="247" t="str">
        <f t="shared" si="14"/>
        <v xml:space="preserve"> </v>
      </c>
      <c r="Z27" s="78">
        <f>'Grad 1'!Z27</f>
        <v>0</v>
      </c>
      <c r="AA27" s="92">
        <f>IF((Z27-4)&gt;0,Z27-4,0)</f>
        <v>0</v>
      </c>
      <c r="AB27" s="92">
        <f>Z27+4</f>
        <v>4</v>
      </c>
      <c r="AC27" s="76" t="str">
        <f t="shared" si="12"/>
        <v>No</v>
      </c>
      <c r="AD27" s="14">
        <f t="shared" si="15"/>
        <v>0</v>
      </c>
      <c r="AE27" s="2" t="str">
        <f t="shared" si="16"/>
        <v>0-4</v>
      </c>
    </row>
    <row r="28" spans="1:31" ht="21" customHeight="1" thickBot="1">
      <c r="A28" s="33" t="s">
        <v>238</v>
      </c>
      <c r="B28" s="186"/>
      <c r="C28" s="29"/>
      <c r="D28" s="36" t="s">
        <v>27</v>
      </c>
      <c r="E28" s="29"/>
      <c r="F28" s="29"/>
      <c r="G28" s="181">
        <f t="shared" si="25"/>
        <v>0.1</v>
      </c>
      <c r="H28" s="181">
        <f t="shared" si="24"/>
        <v>0</v>
      </c>
      <c r="I28" s="182">
        <f t="shared" si="17"/>
        <v>0</v>
      </c>
      <c r="J28" s="191" t="str">
        <f>IF('Proj Info'!B45=" "," ",'Proj Info'!B45)</f>
        <v/>
      </c>
      <c r="K28" s="17"/>
      <c r="L28" s="17"/>
      <c r="M28" s="18">
        <f t="shared" si="18"/>
        <v>0</v>
      </c>
      <c r="N28" s="15">
        <f t="shared" si="19"/>
        <v>0.1</v>
      </c>
      <c r="O28" s="15">
        <f t="shared" si="20"/>
        <v>0.1</v>
      </c>
      <c r="P28" s="15">
        <f t="shared" si="21"/>
        <v>0.1</v>
      </c>
      <c r="Q28" s="15">
        <f t="shared" si="22"/>
        <v>0.1</v>
      </c>
      <c r="R28" s="15">
        <f t="shared" si="23"/>
        <v>0.1</v>
      </c>
      <c r="S28" s="2"/>
      <c r="T28" s="77" t="s">
        <v>67</v>
      </c>
      <c r="U28" s="80">
        <f>U27-($U$25-$U$30)/5</f>
        <v>0</v>
      </c>
      <c r="V28" s="80">
        <f>V27-($V$25-$V$30)/5</f>
        <v>0</v>
      </c>
      <c r="W28" s="78">
        <f>'Grad 4'!I47</f>
        <v>0</v>
      </c>
      <c r="X28" s="79" t="str">
        <f t="shared" si="13"/>
        <v xml:space="preserve"> </v>
      </c>
      <c r="Y28" s="247" t="str">
        <f t="shared" si="14"/>
        <v xml:space="preserve"> </v>
      </c>
      <c r="Z28" s="78">
        <f>'Grad 1'!Z28</f>
        <v>0</v>
      </c>
      <c r="AA28" s="92">
        <f>IF((Z28-3)&gt;0,Z28-3,0)</f>
        <v>0</v>
      </c>
      <c r="AB28" s="92">
        <f>Z28+3</f>
        <v>3</v>
      </c>
      <c r="AC28" s="76" t="str">
        <f t="shared" si="12"/>
        <v>No</v>
      </c>
      <c r="AD28" s="14">
        <f t="shared" si="15"/>
        <v>0</v>
      </c>
      <c r="AE28" s="2" t="str">
        <f t="shared" si="16"/>
        <v>0-3</v>
      </c>
    </row>
    <row r="29" spans="1:31" ht="21" customHeight="1" thickBot="1">
      <c r="A29" s="33" t="s">
        <v>39</v>
      </c>
      <c r="B29" s="179"/>
      <c r="C29" s="29"/>
      <c r="D29" s="184">
        <f>IF(B29="",0,SUM(B22:B29))</f>
        <v>0</v>
      </c>
      <c r="E29" s="29"/>
      <c r="F29" s="29"/>
      <c r="G29" s="181">
        <f t="shared" si="25"/>
        <v>0.1</v>
      </c>
      <c r="H29" s="37"/>
      <c r="I29" s="37"/>
      <c r="J29" s="194"/>
      <c r="K29" s="17"/>
      <c r="L29" s="17"/>
      <c r="M29" s="18">
        <f t="shared" si="18"/>
        <v>0</v>
      </c>
      <c r="N29" s="15">
        <f t="shared" si="19"/>
        <v>0.1</v>
      </c>
      <c r="O29" s="15">
        <f t="shared" si="20"/>
        <v>0.1</v>
      </c>
      <c r="P29" s="15">
        <f t="shared" si="21"/>
        <v>0.1</v>
      </c>
      <c r="Q29" s="15">
        <f t="shared" si="22"/>
        <v>0.1</v>
      </c>
      <c r="R29" s="15">
        <f t="shared" si="23"/>
        <v>0.1</v>
      </c>
      <c r="S29" s="2"/>
      <c r="T29" s="77" t="s">
        <v>68</v>
      </c>
      <c r="U29" s="80">
        <f>U28-($U$25-$U$30)/5</f>
        <v>0</v>
      </c>
      <c r="V29" s="80">
        <f>V28-($V$25-$V$30)/5</f>
        <v>0</v>
      </c>
      <c r="W29" s="78">
        <f>'Grad 4'!I48</f>
        <v>0</v>
      </c>
      <c r="X29" s="79" t="str">
        <f t="shared" si="13"/>
        <v xml:space="preserve"> </v>
      </c>
      <c r="Y29" s="247" t="str">
        <f t="shared" si="14"/>
        <v xml:space="preserve"> </v>
      </c>
      <c r="Z29" s="78">
        <f>'Grad 1'!Z29</f>
        <v>0</v>
      </c>
      <c r="AA29" s="92">
        <f>IF((Z29-2)&gt;0,Z29-2,0)</f>
        <v>0</v>
      </c>
      <c r="AB29" s="92">
        <f>Z29+2</f>
        <v>2</v>
      </c>
      <c r="AC29" s="76" t="str">
        <f t="shared" si="12"/>
        <v>No</v>
      </c>
      <c r="AD29" s="14">
        <f t="shared" si="15"/>
        <v>0</v>
      </c>
      <c r="AE29" s="2" t="str">
        <f t="shared" si="16"/>
        <v>0-2</v>
      </c>
    </row>
    <row r="30" spans="1:31" ht="21" customHeight="1">
      <c r="A30" s="229" t="s">
        <v>239</v>
      </c>
      <c r="B30" s="187"/>
      <c r="C30" s="37" t="s">
        <v>37</v>
      </c>
      <c r="D30" s="29"/>
      <c r="E30" s="29"/>
      <c r="F30" s="29"/>
      <c r="G30" s="181">
        <f>SUM(G22:G29)</f>
        <v>0.79999999999999993</v>
      </c>
      <c r="H30" s="183"/>
      <c r="I30" s="183"/>
      <c r="J30" s="194"/>
      <c r="K30" s="14"/>
      <c r="L30" s="14"/>
      <c r="M30" s="16"/>
      <c r="N30" s="17"/>
      <c r="O30" s="19"/>
      <c r="P30" s="19"/>
      <c r="Q30" s="19"/>
      <c r="R30" s="19"/>
      <c r="S30" s="2"/>
      <c r="T30" s="77" t="s">
        <v>17</v>
      </c>
      <c r="U30" s="78">
        <f>'Grad 4'!$I$14</f>
        <v>0</v>
      </c>
      <c r="V30" s="78">
        <f>'Grad 4'!$I$31</f>
        <v>0</v>
      </c>
      <c r="W30" s="78">
        <f>'Grad 4'!I49</f>
        <v>0</v>
      </c>
      <c r="X30" s="79" t="str">
        <f t="shared" si="13"/>
        <v xml:space="preserve"> </v>
      </c>
      <c r="Y30" s="247" t="str">
        <f t="shared" si="14"/>
        <v xml:space="preserve"> </v>
      </c>
      <c r="Z30" s="78">
        <f>'Grad 1'!Z30</f>
        <v>1.5</v>
      </c>
      <c r="AA30" s="92">
        <v>0</v>
      </c>
      <c r="AB30" s="78">
        <f>Z30</f>
        <v>1.5</v>
      </c>
      <c r="AC30" s="76" t="str">
        <f t="shared" si="12"/>
        <v>No</v>
      </c>
      <c r="AD30" s="14">
        <f t="shared" si="15"/>
        <v>0</v>
      </c>
      <c r="AE30" s="2" t="str">
        <f t="shared" si="16"/>
        <v>0-1.5</v>
      </c>
    </row>
    <row r="31" spans="1:31" ht="21" customHeight="1" thickBot="1">
      <c r="A31" s="230" t="s">
        <v>240</v>
      </c>
      <c r="B31" s="188"/>
      <c r="C31" s="37" t="s">
        <v>38</v>
      </c>
      <c r="D31" s="29"/>
      <c r="E31" s="29"/>
      <c r="F31" s="29"/>
      <c r="G31" s="183"/>
      <c r="H31" s="38" t="s">
        <v>17</v>
      </c>
      <c r="I31" s="180">
        <f>ROUND(IF(B34=0,0,SUM(B34/B30)*100),1)</f>
        <v>0</v>
      </c>
      <c r="J31" s="191" t="str">
        <f>IF('Proj Info'!B46=" "," ",'Proj Info'!B46)</f>
        <v/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S31" s="2"/>
      <c r="T31" s="81"/>
      <c r="U31" s="83"/>
      <c r="V31" s="83"/>
      <c r="W31" s="83"/>
      <c r="X31" s="82"/>
      <c r="Y31" s="82"/>
      <c r="Z31" s="87"/>
      <c r="AA31" s="83"/>
      <c r="AB31" s="83"/>
      <c r="AC31" s="71"/>
      <c r="AD31" s="14">
        <f>+SUM(AD19:AD30)</f>
        <v>0</v>
      </c>
      <c r="AE31" s="2" t="str">
        <f>IF(AD31=12,"Y","N")</f>
        <v>N</v>
      </c>
    </row>
    <row r="32" spans="1:31" ht="21" customHeight="1" thickTop="1">
      <c r="A32" s="33" t="s">
        <v>39</v>
      </c>
      <c r="B32" s="179"/>
      <c r="C32" s="37" t="s">
        <v>40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S32" s="2"/>
      <c r="T32" s="2"/>
      <c r="U32" s="2"/>
      <c r="V32" s="2"/>
      <c r="W32" s="2"/>
      <c r="X32" s="2" t="s">
        <v>128</v>
      </c>
      <c r="Y32" s="263" t="str">
        <f>IF(B4="","",((100-Y19)+(Y19-Y20)+(Y20-Y21)+(Y21-Y22)+(Y22-Y23))/((100-Y19)+(Y19-Y20)+(Y20-Y21)+(Y21-Y22)+(Y22-Y23)+(Y23-Y24)+(Y24-Y25))*100)</f>
        <v/>
      </c>
      <c r="Z32" s="2"/>
      <c r="AA32" s="2"/>
      <c r="AB32" s="2"/>
      <c r="AC32" s="2"/>
      <c r="AD32" s="2"/>
      <c r="AE32" s="2"/>
    </row>
    <row r="33" spans="1:31" ht="21" customHeight="1">
      <c r="A33" s="33" t="s">
        <v>41</v>
      </c>
      <c r="B33" s="180">
        <f>IF(B31="",0,SUM(B30-B31))</f>
        <v>0</v>
      </c>
      <c r="C33" s="37" t="s">
        <v>42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S33" s="2"/>
      <c r="T33" s="2"/>
      <c r="U33" s="2"/>
      <c r="V33" s="2"/>
      <c r="W33" s="2"/>
      <c r="X33" s="2" t="s">
        <v>129</v>
      </c>
      <c r="Y33" s="263" t="str">
        <f>IF(Y25="","",Y25)</f>
        <v xml:space="preserve"> </v>
      </c>
      <c r="Z33" s="2"/>
      <c r="AA33" s="2"/>
      <c r="AB33" s="2"/>
      <c r="AC33" s="2"/>
      <c r="AD33" s="2"/>
      <c r="AE33" s="2"/>
    </row>
    <row r="34" spans="1:31" ht="21" customHeight="1">
      <c r="A34" s="33" t="s">
        <v>43</v>
      </c>
      <c r="B34" s="189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1" customHeight="1">
      <c r="A35" s="33" t="s">
        <v>241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21" customHeight="1">
      <c r="A38" s="232" t="s">
        <v>242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21" customHeight="1">
      <c r="A39" s="233" t="s">
        <v>243</v>
      </c>
      <c r="B39" s="179"/>
      <c r="C39" s="287" t="s">
        <v>45</v>
      </c>
      <c r="D39" s="288"/>
      <c r="E39" s="177">
        <f>ROUND(IF(D51=0,0,SUM(D51/B39)*100),1)</f>
        <v>0</v>
      </c>
      <c r="F39" s="31" t="s">
        <v>32</v>
      </c>
      <c r="G39" s="10" t="s">
        <v>46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</row>
    <row r="40" spans="1:31" ht="21" customHeight="1">
      <c r="A40" s="233" t="s">
        <v>244</v>
      </c>
      <c r="B40" s="179"/>
      <c r="C40" s="29"/>
      <c r="D40" s="292" t="str">
        <f>IF(E39&lt;5,"",IF(E39&lt;99.5,"Check Weights.",IF(E39&gt;100.5,"Check Weights","")))</f>
        <v/>
      </c>
      <c r="E40" s="293"/>
      <c r="F40" s="29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</row>
    <row r="41" spans="1:31" ht="21" customHeight="1">
      <c r="A41" s="33" t="s">
        <v>235</v>
      </c>
      <c r="B41" s="179"/>
      <c r="C41" s="29"/>
      <c r="D41" s="34"/>
      <c r="E41" s="29"/>
      <c r="F41" s="29"/>
      <c r="G41" s="180">
        <f t="shared" ref="G41:G47" si="27">IF($M$52=100,$M41,IF($N$52=100,$N41,IF($O$52=100,$O41,IF($P$52=100,$P41,IF($Q$52=100,$Q41,IF($R$52=100,$R41,$R41))))))</f>
        <v>0.1</v>
      </c>
      <c r="H41" s="180">
        <f>IF(D51=0,0,100-G41)</f>
        <v>0</v>
      </c>
      <c r="I41" s="190">
        <f t="shared" ref="I41:I49" si="28">IF(H41&gt;9.9,ROUND(H41,0),ROUND(H41,1))</f>
        <v>0</v>
      </c>
      <c r="J41" s="13"/>
      <c r="K41" s="14"/>
      <c r="L41" s="14"/>
      <c r="M41" s="22">
        <f t="shared" ref="M41:M49" si="29">ROUND(IF(B41="",0,SUM(B41/$B$39)*100),1)</f>
        <v>0</v>
      </c>
      <c r="N41" s="19">
        <f>IF(M41=K42,L42,M41)</f>
        <v>0</v>
      </c>
      <c r="O41" s="23">
        <f t="shared" ref="O41:O50" si="30">IF(N41=K$44,L$44,N41)</f>
        <v>0.1</v>
      </c>
      <c r="P41" s="23">
        <f t="shared" ref="P41:P50" si="31">IF(O41=K$45,L$45,O41)</f>
        <v>0.1</v>
      </c>
      <c r="Q41" s="23">
        <f t="shared" ref="Q41:Q50" si="32">IF(P41=K$46,L$46,P41)</f>
        <v>0.1</v>
      </c>
      <c r="R41" s="23">
        <f>IF(Q41=K$46,L$46,Q41)</f>
        <v>0.1</v>
      </c>
    </row>
    <row r="42" spans="1:31" ht="21" customHeight="1">
      <c r="A42" s="33" t="s">
        <v>236</v>
      </c>
      <c r="B42" s="179"/>
      <c r="C42" s="29"/>
      <c r="D42" s="29"/>
      <c r="E42" s="29"/>
      <c r="F42" s="29"/>
      <c r="G42" s="180">
        <f t="shared" si="27"/>
        <v>0.1</v>
      </c>
      <c r="H42" s="180">
        <f t="shared" ref="H42:H49" si="33">IF(H41=0,0,(H41-G42))</f>
        <v>0</v>
      </c>
      <c r="I42" s="190">
        <f t="shared" si="28"/>
        <v>0</v>
      </c>
      <c r="J42" s="13" t="str">
        <f>IF('Proj Info'!B47=" "," ",'Proj Info'!B47)</f>
        <v/>
      </c>
      <c r="K42" s="14"/>
      <c r="L42" s="14"/>
      <c r="M42" s="22">
        <f t="shared" si="29"/>
        <v>0</v>
      </c>
      <c r="N42" s="19">
        <f>IF(M42=K43,L43,M42)</f>
        <v>0.1</v>
      </c>
      <c r="O42" s="23">
        <f t="shared" si="30"/>
        <v>0.1</v>
      </c>
      <c r="P42" s="23">
        <f t="shared" si="31"/>
        <v>0.1</v>
      </c>
      <c r="Q42" s="23">
        <f t="shared" si="32"/>
        <v>0.1</v>
      </c>
      <c r="R42" s="23">
        <f>IF(Q42=K$46,L$46,Q42)</f>
        <v>0.1</v>
      </c>
    </row>
    <row r="43" spans="1:31" ht="21" customHeight="1">
      <c r="A43" s="33" t="s">
        <v>237</v>
      </c>
      <c r="B43" s="179"/>
      <c r="C43" s="29"/>
      <c r="D43" s="29"/>
      <c r="E43" s="29"/>
      <c r="F43" s="29"/>
      <c r="G43" s="180">
        <f t="shared" si="27"/>
        <v>0.1</v>
      </c>
      <c r="H43" s="180">
        <f t="shared" si="33"/>
        <v>0</v>
      </c>
      <c r="I43" s="190">
        <f t="shared" si="28"/>
        <v>0</v>
      </c>
      <c r="J43" s="13" t="str">
        <f>IF('Proj Info'!B48=" "," ",'Proj Info'!B48)</f>
        <v/>
      </c>
      <c r="K43" s="17">
        <f>LARGE(M43:M47,1)</f>
        <v>0</v>
      </c>
      <c r="L43" s="17">
        <f>IF(M52&lt;100,(K43+0.1),IF(M52&gt;100,(K43-0.1),K43))</f>
        <v>0.1</v>
      </c>
      <c r="M43" s="22">
        <f t="shared" si="29"/>
        <v>0</v>
      </c>
      <c r="N43" s="19">
        <f t="shared" ref="N43:N50" si="34">IF(M43=$K$43,$L$43,M43)</f>
        <v>0.1</v>
      </c>
      <c r="O43" s="23">
        <f t="shared" si="30"/>
        <v>0.1</v>
      </c>
      <c r="P43" s="23">
        <f t="shared" si="31"/>
        <v>0.1</v>
      </c>
      <c r="Q43" s="23">
        <f t="shared" si="32"/>
        <v>0.1</v>
      </c>
      <c r="R43" s="23">
        <f t="shared" ref="R43:R50" si="35">IF(Q43=K$47,L$47,Q43)</f>
        <v>0.1</v>
      </c>
    </row>
    <row r="44" spans="1:31" ht="21" customHeight="1">
      <c r="A44" s="33" t="s">
        <v>238</v>
      </c>
      <c r="B44" s="179"/>
      <c r="C44" s="29"/>
      <c r="D44" s="29"/>
      <c r="E44" s="29"/>
      <c r="F44" s="29"/>
      <c r="G44" s="180">
        <f t="shared" si="27"/>
        <v>0.1</v>
      </c>
      <c r="H44" s="180">
        <f t="shared" si="33"/>
        <v>0</v>
      </c>
      <c r="I44" s="190">
        <f t="shared" si="28"/>
        <v>0</v>
      </c>
      <c r="J44" s="13" t="str">
        <f>IF('Proj Info'!B49=" "," ",'Proj Info'!B49)</f>
        <v/>
      </c>
      <c r="K44" s="17">
        <f>LARGE(M43:M47,2)</f>
        <v>0</v>
      </c>
      <c r="L44" s="17">
        <f>IF(N52&lt;100,(K44+0.1),IF(N52&gt;100,(K44-0.1),K44))</f>
        <v>0.1</v>
      </c>
      <c r="M44" s="22">
        <f t="shared" si="29"/>
        <v>0</v>
      </c>
      <c r="N44" s="19">
        <f t="shared" si="34"/>
        <v>0.1</v>
      </c>
      <c r="O44" s="23">
        <f t="shared" si="30"/>
        <v>0.1</v>
      </c>
      <c r="P44" s="23">
        <f t="shared" si="31"/>
        <v>0.1</v>
      </c>
      <c r="Q44" s="23">
        <f t="shared" si="32"/>
        <v>0.1</v>
      </c>
      <c r="R44" s="23">
        <f t="shared" si="35"/>
        <v>0.1</v>
      </c>
    </row>
    <row r="45" spans="1:31" ht="21" customHeight="1">
      <c r="A45" s="33" t="s">
        <v>245</v>
      </c>
      <c r="B45" s="179"/>
      <c r="C45" s="29"/>
      <c r="D45" s="29"/>
      <c r="E45" s="29"/>
      <c r="F45" s="29"/>
      <c r="G45" s="180">
        <f t="shared" si="27"/>
        <v>0.1</v>
      </c>
      <c r="H45" s="180">
        <f t="shared" si="33"/>
        <v>0</v>
      </c>
      <c r="I45" s="190">
        <f t="shared" si="28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29"/>
        <v>0</v>
      </c>
      <c r="N45" s="19">
        <f t="shared" si="34"/>
        <v>0.1</v>
      </c>
      <c r="O45" s="23">
        <f t="shared" si="30"/>
        <v>0.1</v>
      </c>
      <c r="P45" s="23">
        <f t="shared" si="31"/>
        <v>0.1</v>
      </c>
      <c r="Q45" s="23">
        <f t="shared" si="32"/>
        <v>0.1</v>
      </c>
      <c r="R45" s="23">
        <f t="shared" si="35"/>
        <v>0.1</v>
      </c>
    </row>
    <row r="46" spans="1:31" ht="21" customHeight="1">
      <c r="A46" s="33" t="s">
        <v>246</v>
      </c>
      <c r="B46" s="179"/>
      <c r="C46" s="29"/>
      <c r="D46" s="29"/>
      <c r="E46" s="29"/>
      <c r="F46" s="29"/>
      <c r="G46" s="180">
        <f t="shared" si="27"/>
        <v>0.1</v>
      </c>
      <c r="H46" s="180">
        <f t="shared" si="33"/>
        <v>0</v>
      </c>
      <c r="I46" s="190">
        <f t="shared" si="28"/>
        <v>0</v>
      </c>
      <c r="J46" s="13" t="str">
        <f>IF('Proj Info'!B50=" "," ",'Proj Info'!B50)</f>
        <v/>
      </c>
      <c r="K46" s="17">
        <f>LARGE(M43:M47,4)</f>
        <v>0</v>
      </c>
      <c r="L46" s="17">
        <f>IF(P52&gt;100,K46-0.1,IF(P52&lt;100,K46+0.1,K46))</f>
        <v>0.1</v>
      </c>
      <c r="M46" s="22">
        <f t="shared" si="29"/>
        <v>0</v>
      </c>
      <c r="N46" s="19">
        <f t="shared" si="34"/>
        <v>0.1</v>
      </c>
      <c r="O46" s="23">
        <f t="shared" si="30"/>
        <v>0.1</v>
      </c>
      <c r="P46" s="23">
        <f t="shared" si="31"/>
        <v>0.1</v>
      </c>
      <c r="Q46" s="23">
        <f t="shared" si="32"/>
        <v>0.1</v>
      </c>
      <c r="R46" s="23">
        <f t="shared" si="35"/>
        <v>0.1</v>
      </c>
    </row>
    <row r="47" spans="1:31" ht="21" customHeight="1">
      <c r="A47" s="33" t="s">
        <v>247</v>
      </c>
      <c r="B47" s="179"/>
      <c r="C47" s="29"/>
      <c r="D47" s="29"/>
      <c r="E47" s="29"/>
      <c r="F47" s="29"/>
      <c r="G47" s="180">
        <f t="shared" si="27"/>
        <v>0.1</v>
      </c>
      <c r="H47" s="180">
        <f t="shared" si="33"/>
        <v>0</v>
      </c>
      <c r="I47" s="190">
        <f t="shared" si="28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29"/>
        <v>0</v>
      </c>
      <c r="N47" s="19">
        <f t="shared" si="34"/>
        <v>0.1</v>
      </c>
      <c r="O47" s="23">
        <f t="shared" si="30"/>
        <v>0.1</v>
      </c>
      <c r="P47" s="23">
        <f t="shared" si="31"/>
        <v>0.1</v>
      </c>
      <c r="Q47" s="23">
        <f t="shared" si="32"/>
        <v>0.1</v>
      </c>
      <c r="R47" s="23">
        <f t="shared" si="35"/>
        <v>0.1</v>
      </c>
    </row>
    <row r="48" spans="1:31" ht="21" customHeight="1">
      <c r="A48" s="33" t="s">
        <v>248</v>
      </c>
      <c r="B48" s="179"/>
      <c r="C48" s="29"/>
      <c r="D48" s="29"/>
      <c r="E48" s="29"/>
      <c r="F48" s="29"/>
      <c r="G48" s="180">
        <f>IF($M$52=100,$M48,IF($N$52=100,$N48,IF($O$52=100,$O48,IF($P$52=100,$P48,IF($Q$52=100,$Q48,IF($R$52=100,$R48,$R48))))))</f>
        <v>0.1</v>
      </c>
      <c r="H48" s="180">
        <f t="shared" si="33"/>
        <v>0</v>
      </c>
      <c r="I48" s="190">
        <f t="shared" si="28"/>
        <v>0</v>
      </c>
      <c r="J48" s="20"/>
      <c r="K48" s="17"/>
      <c r="L48" s="17"/>
      <c r="M48" s="22">
        <f t="shared" si="29"/>
        <v>0</v>
      </c>
      <c r="N48" s="19">
        <f t="shared" si="34"/>
        <v>0.1</v>
      </c>
      <c r="O48" s="23">
        <f t="shared" si="30"/>
        <v>0.1</v>
      </c>
      <c r="P48" s="23">
        <f t="shared" si="31"/>
        <v>0.1</v>
      </c>
      <c r="Q48" s="23">
        <f t="shared" si="32"/>
        <v>0.1</v>
      </c>
      <c r="R48" s="23">
        <f t="shared" si="35"/>
        <v>0.1</v>
      </c>
    </row>
    <row r="49" spans="1:18" ht="21" customHeight="1">
      <c r="A49" s="33" t="s">
        <v>249</v>
      </c>
      <c r="B49" s="179"/>
      <c r="C49" s="29"/>
      <c r="D49" s="29"/>
      <c r="E49" s="29"/>
      <c r="F49" s="29"/>
      <c r="G49" s="180">
        <f>IF($M$52=100,$M49,IF($N$52=100,$N49,IF($O$52=100,$O49,IF($P$52=100,$P49,IF($Q$52=100,$Q49,IF($R$52=100,$R49,$R49))))))</f>
        <v>0.1</v>
      </c>
      <c r="H49" s="180">
        <f t="shared" si="33"/>
        <v>0</v>
      </c>
      <c r="I49" s="190">
        <f t="shared" si="28"/>
        <v>0</v>
      </c>
      <c r="J49" s="13" t="str">
        <f>IF('Proj Info'!B51=" "," ",'Proj Info'!B51)</f>
        <v/>
      </c>
      <c r="K49" s="17"/>
      <c r="L49" s="17"/>
      <c r="M49" s="22">
        <f t="shared" si="29"/>
        <v>0</v>
      </c>
      <c r="N49" s="19">
        <f t="shared" si="34"/>
        <v>0.1</v>
      </c>
      <c r="O49" s="23">
        <f t="shared" si="30"/>
        <v>0.1</v>
      </c>
      <c r="P49" s="23">
        <f t="shared" si="31"/>
        <v>0.1</v>
      </c>
      <c r="Q49" s="23">
        <f t="shared" si="32"/>
        <v>0.1</v>
      </c>
      <c r="R49" s="23">
        <f t="shared" si="35"/>
        <v>0.1</v>
      </c>
    </row>
    <row r="50" spans="1:18" ht="21" customHeight="1" thickBot="1">
      <c r="A50" s="33" t="s">
        <v>47</v>
      </c>
      <c r="B50" s="179"/>
      <c r="C50" s="29"/>
      <c r="D50" s="36" t="s">
        <v>27</v>
      </c>
      <c r="E50" s="29"/>
      <c r="F50" s="29"/>
      <c r="G50" s="180">
        <f>IF($M$52=100,$M50,IF($N$52=100,$N50,IF($O$52=100,$O50,IF($P$52=100,$P50,IF($Q$52=100,$Q50,IF($R$52=100,$R50,$R50))))))</f>
        <v>0.1</v>
      </c>
      <c r="H50" s="176"/>
      <c r="I50" s="176"/>
      <c r="J50" s="176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0"/>
        <v>0.1</v>
      </c>
      <c r="P50" s="23">
        <f t="shared" si="31"/>
        <v>0.1</v>
      </c>
      <c r="Q50" s="23">
        <f t="shared" si="32"/>
        <v>0.1</v>
      </c>
      <c r="R50" s="23">
        <f t="shared" si="35"/>
        <v>0.1</v>
      </c>
    </row>
    <row r="51" spans="1:18" ht="21" customHeight="1" thickBot="1">
      <c r="A51" s="33" t="s">
        <v>48</v>
      </c>
      <c r="B51" s="180">
        <f>IF(B40="",0,SUM(B39-B40))</f>
        <v>0</v>
      </c>
      <c r="C51" s="29"/>
      <c r="D51" s="178">
        <f>IF(B50="",0,SUM(B41:B51))</f>
        <v>0</v>
      </c>
      <c r="E51" s="29"/>
      <c r="F51" s="29"/>
      <c r="G51" s="180">
        <f>IF(G50="",0,SUM(G41:G50))</f>
        <v>0.99999999999999989</v>
      </c>
      <c r="H51" s="176"/>
      <c r="I51" s="176"/>
      <c r="J51" s="176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147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FzaU7HR5550UUcJe4U6I+/3MEKjjcfN+ZwE59gBiz+nOTPp3/rjZe6awRvGKMkK1OMyyXyp0bRbOx01XByziMw==" saltValue="GKd2CP1fDLnjfvh/rNt/5A==" spinCount="100000" sheet="1"/>
  <mergeCells count="6">
    <mergeCell ref="C39:D39"/>
    <mergeCell ref="D40:E40"/>
    <mergeCell ref="C4:D4"/>
    <mergeCell ref="D5:E5"/>
    <mergeCell ref="C21:D21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52"/>
  <sheetViews>
    <sheetView defaultGridColor="0" view="pageBreakPreview" colorId="22" zoomScale="75" zoomScaleNormal="60" workbookViewId="0">
      <pane xSplit="1" topLeftCell="B1" activePane="topRight" state="frozen"/>
      <selection pane="topRight" activeCell="T46" sqref="T46"/>
    </sheetView>
  </sheetViews>
  <sheetFormatPr defaultColWidth="9.77734375" defaultRowHeight="15"/>
  <cols>
    <col min="1" max="1" width="20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31" ht="21" customHeight="1">
      <c r="A1" s="44" t="s">
        <v>251</v>
      </c>
      <c r="B1" s="236"/>
    </row>
    <row r="2" spans="1:31" ht="21" customHeight="1">
      <c r="A2" s="44" t="s">
        <v>145</v>
      </c>
      <c r="B2" t="str">
        <f>IF('Proj Info'!B4="","",'Proj Info'!B4)</f>
        <v/>
      </c>
      <c r="S2" s="2"/>
      <c r="T2" s="45"/>
      <c r="U2" s="45"/>
      <c r="V2" s="45"/>
      <c r="W2" s="45"/>
      <c r="X2" s="46"/>
      <c r="Y2" s="46"/>
      <c r="Z2" s="45"/>
      <c r="AA2" s="2"/>
      <c r="AB2" s="2"/>
      <c r="AC2" s="2"/>
      <c r="AD2" s="2"/>
      <c r="AE2" s="2"/>
    </row>
    <row r="3" spans="1:31" ht="21" customHeight="1">
      <c r="A3" s="25" t="s">
        <v>146</v>
      </c>
      <c r="B3" s="205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S3" s="2"/>
      <c r="T3" s="2"/>
      <c r="U3" s="45"/>
      <c r="V3" s="45"/>
      <c r="W3" s="45"/>
      <c r="X3" s="46"/>
      <c r="Y3" s="46"/>
      <c r="Z3" s="45"/>
      <c r="AA3" s="2"/>
      <c r="AB3" s="2"/>
      <c r="AC3" s="2"/>
      <c r="AD3" s="2"/>
      <c r="AE3" s="2"/>
    </row>
    <row r="4" spans="1:31" ht="21" customHeight="1" thickBot="1">
      <c r="A4" s="202" t="s">
        <v>144</v>
      </c>
      <c r="B4" s="185"/>
      <c r="C4" s="287" t="s">
        <v>31</v>
      </c>
      <c r="D4" s="291"/>
      <c r="E4" s="177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S4" s="2"/>
      <c r="T4" s="47" t="s">
        <v>133</v>
      </c>
      <c r="U4" s="45"/>
      <c r="V4" s="45"/>
      <c r="W4" s="45"/>
      <c r="X4" s="2"/>
      <c r="Y4" s="48" t="s">
        <v>73</v>
      </c>
      <c r="Z4" s="45"/>
      <c r="AA4" s="2"/>
      <c r="AB4" s="2"/>
      <c r="AC4" s="2"/>
      <c r="AD4" s="2"/>
      <c r="AE4" s="2"/>
    </row>
    <row r="5" spans="1:31" ht="21" customHeight="1" thickTop="1">
      <c r="A5" s="33" t="s">
        <v>232</v>
      </c>
      <c r="B5" s="186"/>
      <c r="C5" s="29"/>
      <c r="D5" s="292" t="str">
        <f>IF(E4&lt;5,"",IF(E4&lt;99.5,"Check Weights.",IF(E4&gt;100.5,"Check Weights","")))</f>
        <v/>
      </c>
      <c r="E5" s="293"/>
      <c r="F5" s="29"/>
      <c r="G5" s="181">
        <f t="shared" ref="G5:G12" si="0">IF($M$14=100,$M5,IF($N$14=100,$N5,IF($O$14=100,$O5,IF($P$14=100,$P5,IF($Q$14=100,$Q5,IF($R$14=100,$R5,$R5))))))</f>
        <v>0.1</v>
      </c>
      <c r="H5" s="181">
        <f>IF(D12=0,0,100)</f>
        <v>0</v>
      </c>
      <c r="I5" s="182">
        <f t="shared" ref="I5:I11" si="1">IF(H5&gt;9.9,ROUND(H5,0),ROUND(H5,1))</f>
        <v>0</v>
      </c>
      <c r="J5" s="13" t="str">
        <f>IF('Proj Info'!B33=" "," ",'Proj Info'!B33)</f>
        <v/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S5" s="2"/>
      <c r="T5" s="49" t="s">
        <v>74</v>
      </c>
      <c r="U5" s="50"/>
      <c r="V5" s="50"/>
      <c r="W5" s="51"/>
      <c r="X5" s="257"/>
      <c r="Y5" s="257">
        <f>'Mix Info'!D32</f>
        <v>0</v>
      </c>
      <c r="Z5" s="52" t="e">
        <f>Y5/(SUM($Y$5:$Y$7))</f>
        <v>#DIV/0!</v>
      </c>
      <c r="AA5" s="2"/>
      <c r="AB5" s="2"/>
      <c r="AC5" s="2"/>
      <c r="AD5" s="2"/>
      <c r="AE5" s="2"/>
    </row>
    <row r="6" spans="1:31" ht="21" customHeight="1">
      <c r="A6" s="33" t="s">
        <v>233</v>
      </c>
      <c r="B6" s="186"/>
      <c r="C6" s="29"/>
      <c r="D6" s="31"/>
      <c r="E6" s="29"/>
      <c r="F6" s="29"/>
      <c r="G6" s="181">
        <f t="shared" si="0"/>
        <v>0.1</v>
      </c>
      <c r="H6" s="181">
        <f t="shared" ref="H6:H11" si="8">IF(H5=0,0,(H5-G6))</f>
        <v>0</v>
      </c>
      <c r="I6" s="182">
        <f t="shared" si="1"/>
        <v>0</v>
      </c>
      <c r="J6" s="13" t="str">
        <f>IF('Proj Info'!B34=" "," ",'Proj Info'!B34)</f>
        <v/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S6" s="2"/>
      <c r="T6" s="53" t="s">
        <v>75</v>
      </c>
      <c r="U6" s="54"/>
      <c r="V6" s="54"/>
      <c r="W6" s="55"/>
      <c r="X6" s="258"/>
      <c r="Y6" s="259">
        <f>'Mix Info'!D33</f>
        <v>0</v>
      </c>
      <c r="Z6" s="56" t="e">
        <f>Y6/(SUM($Y$5:$Y$7))</f>
        <v>#DIV/0!</v>
      </c>
      <c r="AA6" s="2"/>
      <c r="AB6" s="2"/>
      <c r="AC6" s="2"/>
      <c r="AD6" s="2"/>
      <c r="AE6" s="2"/>
    </row>
    <row r="7" spans="1:31" ht="21" customHeight="1" thickBot="1">
      <c r="A7" s="33" t="s">
        <v>234</v>
      </c>
      <c r="B7" s="186"/>
      <c r="C7" s="29"/>
      <c r="D7" s="29"/>
      <c r="E7" s="29"/>
      <c r="F7" s="29"/>
      <c r="G7" s="181">
        <f t="shared" si="0"/>
        <v>0.1</v>
      </c>
      <c r="H7" s="181">
        <f t="shared" si="8"/>
        <v>0</v>
      </c>
      <c r="I7" s="182">
        <f t="shared" si="1"/>
        <v>0</v>
      </c>
      <c r="J7" s="13" t="str">
        <f>IF('Proj Info'!B35=" "," ",'Proj Info'!B35)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S7" s="2"/>
      <c r="T7" s="57" t="s">
        <v>76</v>
      </c>
      <c r="U7" s="58"/>
      <c r="V7" s="58"/>
      <c r="W7" s="59"/>
      <c r="X7" s="260"/>
      <c r="Y7" s="261">
        <f>'Mix Info'!D34</f>
        <v>0</v>
      </c>
      <c r="Z7" s="60" t="e">
        <f>Y7/(SUM($Y$5:Y$7))</f>
        <v>#DIV/0!</v>
      </c>
      <c r="AA7" s="2"/>
      <c r="AB7" s="2"/>
      <c r="AC7" s="2"/>
      <c r="AD7" s="2"/>
      <c r="AE7" s="2"/>
    </row>
    <row r="8" spans="1:31" ht="21" customHeight="1" thickTop="1">
      <c r="A8" s="33" t="s">
        <v>235</v>
      </c>
      <c r="B8" s="186"/>
      <c r="C8" s="29"/>
      <c r="D8" s="29"/>
      <c r="E8" s="29"/>
      <c r="F8" s="29"/>
      <c r="G8" s="181">
        <f t="shared" si="0"/>
        <v>0.1</v>
      </c>
      <c r="H8" s="181">
        <f t="shared" si="8"/>
        <v>0</v>
      </c>
      <c r="I8" s="182">
        <f t="shared" si="1"/>
        <v>0</v>
      </c>
      <c r="J8" s="13" t="str">
        <f>IF('Proj Info'!B36=" "," ",'Proj Info'!B36)</f>
        <v/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1" customHeight="1">
      <c r="A9" s="33" t="s">
        <v>236</v>
      </c>
      <c r="B9" s="186"/>
      <c r="C9" s="29"/>
      <c r="D9" s="29"/>
      <c r="E9" s="29"/>
      <c r="F9" s="29"/>
      <c r="G9" s="181">
        <f t="shared" si="0"/>
        <v>0.1</v>
      </c>
      <c r="H9" s="181">
        <f t="shared" si="8"/>
        <v>0</v>
      </c>
      <c r="I9" s="182">
        <f t="shared" si="1"/>
        <v>0</v>
      </c>
      <c r="J9" s="13" t="str">
        <f>IF('Proj Info'!B37=" "," ",'Proj Info'!B37)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1" customHeight="1">
      <c r="A10" s="33" t="s">
        <v>237</v>
      </c>
      <c r="B10" s="186"/>
      <c r="C10" s="29"/>
      <c r="D10" s="29"/>
      <c r="E10" s="29"/>
      <c r="F10" s="29"/>
      <c r="G10" s="181">
        <f t="shared" si="0"/>
        <v>0.1</v>
      </c>
      <c r="H10" s="181">
        <f t="shared" si="8"/>
        <v>0</v>
      </c>
      <c r="I10" s="182">
        <f t="shared" si="1"/>
        <v>0</v>
      </c>
      <c r="J10" s="13" t="str">
        <f>IF('Proj Info'!B38=" "," ",'Proj Info'!B38)</f>
        <v/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1" customHeight="1" thickBot="1">
      <c r="A11" s="33" t="s">
        <v>238</v>
      </c>
      <c r="B11" s="186"/>
      <c r="C11" s="29"/>
      <c r="D11" s="36" t="s">
        <v>27</v>
      </c>
      <c r="E11" s="29"/>
      <c r="F11" s="29"/>
      <c r="G11" s="181">
        <f t="shared" si="0"/>
        <v>0.1</v>
      </c>
      <c r="H11" s="181">
        <f t="shared" si="8"/>
        <v>0</v>
      </c>
      <c r="I11" s="182">
        <f t="shared" si="1"/>
        <v>0</v>
      </c>
      <c r="J11" s="13" t="str">
        <f>IF('Proj Info'!B39=" "," ",'Proj Info'!B39)</f>
        <v/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1" customHeight="1" thickBot="1">
      <c r="A12" s="33" t="s">
        <v>39</v>
      </c>
      <c r="B12" s="179"/>
      <c r="C12" s="29"/>
      <c r="D12" s="184">
        <f>IF(B12="",0,SUM(B5:B12))</f>
        <v>0</v>
      </c>
      <c r="E12" s="29"/>
      <c r="F12" s="29"/>
      <c r="G12" s="181">
        <f t="shared" si="0"/>
        <v>0.1</v>
      </c>
      <c r="H12" s="37"/>
      <c r="I12" s="37"/>
      <c r="J12" s="203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S12" s="2"/>
      <c r="T12" s="47" t="s">
        <v>127</v>
      </c>
      <c r="U12" s="45"/>
      <c r="V12" s="45"/>
      <c r="W12" s="45"/>
      <c r="X12" s="48"/>
      <c r="Y12" s="48"/>
      <c r="Z12" s="45"/>
      <c r="AA12" s="84"/>
      <c r="AB12" s="84"/>
      <c r="AC12" s="85"/>
      <c r="AD12" s="2"/>
      <c r="AE12" s="2"/>
    </row>
    <row r="13" spans="1:31" ht="21" customHeight="1" thickBot="1">
      <c r="A13" s="229" t="s">
        <v>239</v>
      </c>
      <c r="B13" s="187"/>
      <c r="C13" s="37" t="s">
        <v>37</v>
      </c>
      <c r="D13" s="29"/>
      <c r="E13" s="29"/>
      <c r="F13" s="29"/>
      <c r="G13" s="181">
        <f>SUM(G5:G12)</f>
        <v>0.79999999999999993</v>
      </c>
      <c r="H13" s="183"/>
      <c r="I13" s="183"/>
      <c r="J13" s="203"/>
      <c r="K13" s="14"/>
      <c r="L13" s="14"/>
      <c r="M13" s="16"/>
      <c r="N13" s="17"/>
      <c r="O13" s="19"/>
      <c r="P13" s="19"/>
      <c r="Q13" s="19"/>
      <c r="R13" s="19"/>
      <c r="S13" s="2"/>
      <c r="T13" s="2"/>
      <c r="U13" s="61"/>
      <c r="V13" s="61"/>
      <c r="W13" s="61"/>
      <c r="X13" s="86"/>
      <c r="Y13" s="86"/>
      <c r="Z13" s="61"/>
      <c r="AA13" s="61"/>
      <c r="AB13" s="61"/>
      <c r="AC13" s="2"/>
      <c r="AD13" s="2"/>
      <c r="AE13" s="2"/>
    </row>
    <row r="14" spans="1:31" ht="21" customHeight="1" thickTop="1">
      <c r="A14" s="230" t="s">
        <v>240</v>
      </c>
      <c r="B14" s="188"/>
      <c r="C14" s="37" t="s">
        <v>38</v>
      </c>
      <c r="D14" s="29"/>
      <c r="E14" s="29"/>
      <c r="F14" s="29"/>
      <c r="G14" s="183"/>
      <c r="H14" s="38" t="s">
        <v>17</v>
      </c>
      <c r="I14" s="180">
        <f>ROUND(IF(B17=0,0,SUM(B17/B13)*100),1)</f>
        <v>0</v>
      </c>
      <c r="J14" s="13" t="str">
        <f>IF('Proj Info'!B40=" "," ",'Proj Info'!B40)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S14" s="2"/>
      <c r="T14" s="62"/>
      <c r="U14" s="63" t="s">
        <v>13</v>
      </c>
      <c r="V14" s="63" t="s">
        <v>14</v>
      </c>
      <c r="W14" s="63" t="s">
        <v>15</v>
      </c>
      <c r="X14" s="63"/>
      <c r="Y14" s="63" t="s">
        <v>77</v>
      </c>
      <c r="Z14" s="63" t="s">
        <v>78</v>
      </c>
      <c r="AA14" s="63" t="s">
        <v>78</v>
      </c>
      <c r="AB14" s="63" t="s">
        <v>78</v>
      </c>
      <c r="AC14" s="64"/>
      <c r="AD14" s="2"/>
      <c r="AE14" s="2"/>
    </row>
    <row r="15" spans="1:31" ht="21" customHeight="1">
      <c r="A15" s="33" t="s">
        <v>39</v>
      </c>
      <c r="B15" s="179"/>
      <c r="C15" s="37" t="s">
        <v>40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S15" s="2"/>
      <c r="T15" s="65" t="s">
        <v>79</v>
      </c>
      <c r="U15" s="66" t="s">
        <v>16</v>
      </c>
      <c r="V15" s="66" t="s">
        <v>16</v>
      </c>
      <c r="W15" s="66" t="s">
        <v>16</v>
      </c>
      <c r="X15" s="66"/>
      <c r="Y15" s="66" t="s">
        <v>80</v>
      </c>
      <c r="Z15" s="66" t="s">
        <v>81</v>
      </c>
      <c r="AA15" s="66" t="s">
        <v>82</v>
      </c>
      <c r="AB15" s="66" t="s">
        <v>83</v>
      </c>
      <c r="AC15" s="67" t="s">
        <v>84</v>
      </c>
      <c r="AD15" s="2"/>
      <c r="AE15" s="2"/>
    </row>
    <row r="16" spans="1:31" ht="21" customHeight="1">
      <c r="A16" s="33" t="s">
        <v>41</v>
      </c>
      <c r="B16" s="180">
        <f>IF(B14="",0,SUM(B13-B14))</f>
        <v>0</v>
      </c>
      <c r="C16" s="37" t="s">
        <v>42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S16" s="2"/>
      <c r="T16" s="65" t="s">
        <v>85</v>
      </c>
      <c r="U16" s="66" t="s">
        <v>71</v>
      </c>
      <c r="V16" s="66" t="s">
        <v>71</v>
      </c>
      <c r="W16" s="66" t="s">
        <v>71</v>
      </c>
      <c r="X16" s="66"/>
      <c r="Y16" s="66" t="s">
        <v>86</v>
      </c>
      <c r="Z16" s="66" t="s">
        <v>86</v>
      </c>
      <c r="AA16" s="66" t="s">
        <v>86</v>
      </c>
      <c r="AB16" s="66" t="s">
        <v>86</v>
      </c>
      <c r="AC16" s="68" t="s">
        <v>81</v>
      </c>
      <c r="AD16" s="2"/>
      <c r="AE16" s="2"/>
    </row>
    <row r="17" spans="1:31" ht="21" customHeight="1" thickBot="1">
      <c r="A17" s="33" t="s">
        <v>43</v>
      </c>
      <c r="B17" s="189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S17" s="2"/>
      <c r="T17" s="69"/>
      <c r="U17" s="70" t="s">
        <v>87</v>
      </c>
      <c r="V17" s="70" t="s">
        <v>87</v>
      </c>
      <c r="W17" s="70" t="s">
        <v>87</v>
      </c>
      <c r="X17" s="70"/>
      <c r="Y17" s="70" t="s">
        <v>87</v>
      </c>
      <c r="Z17" s="70" t="s">
        <v>87</v>
      </c>
      <c r="AA17" s="70" t="s">
        <v>87</v>
      </c>
      <c r="AB17" s="70" t="s">
        <v>87</v>
      </c>
      <c r="AC17" s="71"/>
      <c r="AD17" s="2"/>
      <c r="AE17" s="2"/>
    </row>
    <row r="18" spans="1:31" ht="21" customHeight="1" thickTop="1">
      <c r="A18" s="33" t="s">
        <v>241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S18" s="2"/>
      <c r="T18" s="72"/>
      <c r="U18" s="73"/>
      <c r="V18" s="73"/>
      <c r="W18" s="73"/>
      <c r="X18" s="74"/>
      <c r="Y18" s="74"/>
      <c r="Z18" s="75"/>
      <c r="AA18" s="55"/>
      <c r="AB18" s="55"/>
      <c r="AC18" s="76"/>
      <c r="AD18" s="2"/>
      <c r="AE18" s="2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S19" s="2"/>
      <c r="T19" s="77" t="s">
        <v>88</v>
      </c>
      <c r="U19" s="78">
        <f>'Grad 5'!I5</f>
        <v>0</v>
      </c>
      <c r="V19" s="78">
        <f>'Grad 5'!I22</f>
        <v>0</v>
      </c>
      <c r="W19" s="78">
        <v>100</v>
      </c>
      <c r="X19" s="79" t="str">
        <f>IF($B$4=0," ",IF($B$20=" ",U19*$Z$5+W19*$Z$7,U19*$Z$5+V19*$Z$6+W19*Z$7))</f>
        <v xml:space="preserve"> </v>
      </c>
      <c r="Y19" s="247" t="str">
        <f>X19</f>
        <v xml:space="preserve"> </v>
      </c>
      <c r="Z19" s="78">
        <f>'Grad 1'!Z19</f>
        <v>100</v>
      </c>
      <c r="AA19" s="92">
        <f t="shared" ref="AA19:AA24" si="10">IF((Z19-5)&gt;0,Z19-5,0)</f>
        <v>95</v>
      </c>
      <c r="AB19" s="92">
        <f t="shared" ref="AB19:AB24" si="11">IF(Z19+5&gt;100,100,Z19+5)</f>
        <v>100</v>
      </c>
      <c r="AC19" s="76" t="str">
        <f t="shared" ref="AC19:AC30" si="12">IF(AND(AA19&lt;=X19,X19&lt;=AB19),"Yes","No")</f>
        <v>No</v>
      </c>
      <c r="AD19" s="14">
        <f>IF(AC19="YES",1,0)</f>
        <v>0</v>
      </c>
      <c r="AE19" s="2" t="str">
        <f>CONCATENATE(AA19,"-",AB19)</f>
        <v>95-100</v>
      </c>
    </row>
    <row r="20" spans="1:31" ht="21" customHeight="1">
      <c r="A20" s="25" t="s">
        <v>242</v>
      </c>
      <c r="B20" s="26"/>
      <c r="C20" s="27"/>
      <c r="D20" s="28"/>
      <c r="E20" s="29"/>
      <c r="F20" s="29"/>
      <c r="G20" s="10" t="s">
        <v>44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S20" s="2"/>
      <c r="T20" s="77" t="s">
        <v>59</v>
      </c>
      <c r="U20" s="78">
        <f>'Grad 5'!I6</f>
        <v>0</v>
      </c>
      <c r="V20" s="78">
        <f>'Grad 5'!I23</f>
        <v>0</v>
      </c>
      <c r="W20" s="78">
        <v>100</v>
      </c>
      <c r="X20" s="79" t="str">
        <f t="shared" ref="X20:X30" si="13">IF($B$4=0," ",IF($B$20=" ",U20*$Z$5+W20*$Z$7,U20*$Z$5+V20*$Z$6+W20*Z$7))</f>
        <v xml:space="preserve"> </v>
      </c>
      <c r="Y20" s="247" t="str">
        <f t="shared" ref="Y20:Y30" si="14">X20</f>
        <v xml:space="preserve"> </v>
      </c>
      <c r="Z20" s="78">
        <f>'Grad 1'!Z20</f>
        <v>0</v>
      </c>
      <c r="AA20" s="92">
        <f t="shared" si="10"/>
        <v>0</v>
      </c>
      <c r="AB20" s="92">
        <f t="shared" si="11"/>
        <v>5</v>
      </c>
      <c r="AC20" s="76" t="str">
        <f t="shared" si="12"/>
        <v>No</v>
      </c>
      <c r="AD20" s="14">
        <f t="shared" ref="AD20:AD30" si="15">IF(AC20="YES",1,0)</f>
        <v>0</v>
      </c>
      <c r="AE20" s="2" t="str">
        <f t="shared" ref="AE20:AE30" si="16">CONCATENATE(AA20,"-",AB20)</f>
        <v>0-5</v>
      </c>
    </row>
    <row r="21" spans="1:31" ht="21" customHeight="1" thickBot="1">
      <c r="A21" s="231" t="s">
        <v>239</v>
      </c>
      <c r="B21" s="185"/>
      <c r="C21" s="287" t="s">
        <v>31</v>
      </c>
      <c r="D21" s="291"/>
      <c r="E21" s="177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S21" s="2"/>
      <c r="T21" s="77" t="s">
        <v>60</v>
      </c>
      <c r="U21" s="78">
        <f>'Grad 5'!I7</f>
        <v>0</v>
      </c>
      <c r="V21" s="78">
        <f>'Grad 5'!I24</f>
        <v>0</v>
      </c>
      <c r="W21" s="78">
        <v>100</v>
      </c>
      <c r="X21" s="79" t="str">
        <f t="shared" si="13"/>
        <v xml:space="preserve"> </v>
      </c>
      <c r="Y21" s="247" t="str">
        <f t="shared" si="14"/>
        <v xml:space="preserve"> </v>
      </c>
      <c r="Z21" s="78">
        <f>'Grad 1'!Z21</f>
        <v>0</v>
      </c>
      <c r="AA21" s="92">
        <f t="shared" si="10"/>
        <v>0</v>
      </c>
      <c r="AB21" s="92">
        <f t="shared" si="11"/>
        <v>5</v>
      </c>
      <c r="AC21" s="76" t="str">
        <f t="shared" si="12"/>
        <v>No</v>
      </c>
      <c r="AD21" s="14">
        <f t="shared" si="15"/>
        <v>0</v>
      </c>
      <c r="AE21" s="2" t="str">
        <f t="shared" si="16"/>
        <v>0-5</v>
      </c>
    </row>
    <row r="22" spans="1:31" ht="21" customHeight="1">
      <c r="A22" s="33" t="s">
        <v>232</v>
      </c>
      <c r="B22" s="186"/>
      <c r="C22" s="29"/>
      <c r="D22" s="292" t="str">
        <f>IF(E21&lt;5,"",IF(E21&lt;99.5,"Check Weights.",IF(E21&gt;100.5,"Check Weights","")))</f>
        <v/>
      </c>
      <c r="E22" s="293"/>
      <c r="F22" s="29"/>
      <c r="G22" s="181">
        <f>IF($M$22=100,$M22,IF($N$22=100,$N22,IF($O$22=100,$O22,IF($P$22=100,$P22,IF($Q$22=100,$Q22,IF($R$22=100,$R22,$R22))))))</f>
        <v>0.1</v>
      </c>
      <c r="H22" s="181">
        <f>IF(D29=0,0,100)</f>
        <v>0</v>
      </c>
      <c r="I22" s="182">
        <f t="shared" ref="I22:I28" si="17">IF(H22&gt;9.9,ROUND(H22,0),ROUND(H22,1))</f>
        <v>0</v>
      </c>
      <c r="J22" s="191"/>
      <c r="K22" s="17">
        <f>LARGE(M22:M29,1)</f>
        <v>0</v>
      </c>
      <c r="L22" s="17">
        <f>IF(M31&lt;100,(K22+0.1),IF(M31&gt;100,(K22-0.1),K22))</f>
        <v>0.1</v>
      </c>
      <c r="M22" s="18">
        <f t="shared" ref="M22:M29" si="18">ROUND(IF(B22="",0,SUM(B22/$B$21)*100),1)</f>
        <v>0</v>
      </c>
      <c r="N22" s="15">
        <f t="shared" ref="N22:N29" si="19">IF(M22=$K$22,$L$22,M22)</f>
        <v>0.1</v>
      </c>
      <c r="O22" s="15">
        <f t="shared" ref="O22:O29" si="20">IF(N22=K$23,L$23,N22)</f>
        <v>0.1</v>
      </c>
      <c r="P22" s="15">
        <f t="shared" ref="P22:P29" si="21">IF(O22=K$24,L$24,O22)</f>
        <v>0.1</v>
      </c>
      <c r="Q22" s="15">
        <f t="shared" ref="Q22:Q29" si="22">IF(P22=K$25,L$25,P22)</f>
        <v>0.1</v>
      </c>
      <c r="R22" s="15">
        <f t="shared" ref="R22:R29" si="23">IF(Q22=K$26,L$26,Q22)</f>
        <v>0.1</v>
      </c>
      <c r="S22" s="2"/>
      <c r="T22" s="77" t="s">
        <v>61</v>
      </c>
      <c r="U22" s="78">
        <f>'Grad 5'!I8</f>
        <v>0</v>
      </c>
      <c r="V22" s="78">
        <f>'Grad 5'!I25</f>
        <v>0</v>
      </c>
      <c r="W22" s="78">
        <f>'Grad 5'!I41</f>
        <v>0</v>
      </c>
      <c r="X22" s="79" t="str">
        <f t="shared" si="13"/>
        <v xml:space="preserve"> </v>
      </c>
      <c r="Y22" s="247" t="str">
        <f t="shared" si="14"/>
        <v xml:space="preserve"> </v>
      </c>
      <c r="Z22" s="78">
        <f>'Grad 1'!Z22</f>
        <v>0</v>
      </c>
      <c r="AA22" s="92">
        <f t="shared" si="10"/>
        <v>0</v>
      </c>
      <c r="AB22" s="92">
        <f t="shared" si="11"/>
        <v>5</v>
      </c>
      <c r="AC22" s="76" t="str">
        <f t="shared" si="12"/>
        <v>No</v>
      </c>
      <c r="AD22" s="14">
        <f t="shared" si="15"/>
        <v>0</v>
      </c>
      <c r="AE22" s="2" t="str">
        <f t="shared" si="16"/>
        <v>0-5</v>
      </c>
    </row>
    <row r="23" spans="1:31" ht="21" customHeight="1">
      <c r="A23" s="33" t="s">
        <v>233</v>
      </c>
      <c r="B23" s="186"/>
      <c r="C23" s="29"/>
      <c r="D23" s="31"/>
      <c r="E23" s="29"/>
      <c r="F23" s="29"/>
      <c r="G23" s="181">
        <f>IF($M$23=100,$M23,IF($N$23=100,$N23,IF($O$23=100,$O23,IF($P$23=100,$P23,IF($Q$23=100,$Q23,IF($R$23=100,$R23,$R23))))))</f>
        <v>0.1</v>
      </c>
      <c r="H23" s="181">
        <f t="shared" ref="H23:H28" si="24">IF(H22=0,0,(H22-G23))</f>
        <v>0</v>
      </c>
      <c r="I23" s="182">
        <f t="shared" si="17"/>
        <v>0</v>
      </c>
      <c r="J23" s="191"/>
      <c r="K23" s="17">
        <f>LARGE(M22:M29,2)</f>
        <v>0</v>
      </c>
      <c r="L23" s="17">
        <f>IF(N31&gt;100,K23-0.1,IF(N31&lt;100,K23+0.1,K23))</f>
        <v>0.1</v>
      </c>
      <c r="M23" s="18">
        <f t="shared" si="18"/>
        <v>0</v>
      </c>
      <c r="N23" s="15">
        <f t="shared" si="19"/>
        <v>0.1</v>
      </c>
      <c r="O23" s="15">
        <f t="shared" si="20"/>
        <v>0.1</v>
      </c>
      <c r="P23" s="15">
        <f t="shared" si="21"/>
        <v>0.1</v>
      </c>
      <c r="Q23" s="15">
        <f t="shared" si="22"/>
        <v>0.1</v>
      </c>
      <c r="R23" s="15">
        <f t="shared" si="23"/>
        <v>0.1</v>
      </c>
      <c r="S23" s="2"/>
      <c r="T23" s="77" t="s">
        <v>62</v>
      </c>
      <c r="U23" s="78">
        <f>'Grad 5'!I9</f>
        <v>0</v>
      </c>
      <c r="V23" s="78">
        <f>'Grad 5'!I26</f>
        <v>0</v>
      </c>
      <c r="W23" s="78">
        <f>'Grad 5'!I42</f>
        <v>0</v>
      </c>
      <c r="X23" s="79" t="str">
        <f t="shared" si="13"/>
        <v xml:space="preserve"> </v>
      </c>
      <c r="Y23" s="247" t="str">
        <f t="shared" si="14"/>
        <v xml:space="preserve"> </v>
      </c>
      <c r="Z23" s="78">
        <f>'Grad 1'!Z23</f>
        <v>0</v>
      </c>
      <c r="AA23" s="92">
        <f t="shared" si="10"/>
        <v>0</v>
      </c>
      <c r="AB23" s="92">
        <f t="shared" si="11"/>
        <v>5</v>
      </c>
      <c r="AC23" s="76" t="str">
        <f t="shared" si="12"/>
        <v>No</v>
      </c>
      <c r="AD23" s="14">
        <f t="shared" si="15"/>
        <v>0</v>
      </c>
      <c r="AE23" s="2" t="str">
        <f t="shared" si="16"/>
        <v>0-5</v>
      </c>
    </row>
    <row r="24" spans="1:31" ht="21" customHeight="1">
      <c r="A24" s="33" t="s">
        <v>234</v>
      </c>
      <c r="B24" s="186"/>
      <c r="C24" s="29"/>
      <c r="D24" s="29"/>
      <c r="E24" s="29"/>
      <c r="F24" s="29"/>
      <c r="G24" s="181">
        <f t="shared" ref="G24:G29" si="25">IF($M$14=100,$M24,IF($N$14=100,$N24,IF($O$14=100,$O24,IF($P$14=100,$P24,IF($Q$14=100,$Q24,IF($R$14=100,$R24,$R24))))))</f>
        <v>0.1</v>
      </c>
      <c r="H24" s="181">
        <f t="shared" si="24"/>
        <v>0</v>
      </c>
      <c r="I24" s="182">
        <f t="shared" si="17"/>
        <v>0</v>
      </c>
      <c r="J24" s="191" t="str">
        <f>IF('Proj Info'!B41=" "," ",'Proj Info'!B41)</f>
        <v/>
      </c>
      <c r="K24" s="17">
        <f>LARGE(M22:M29,3)</f>
        <v>0</v>
      </c>
      <c r="L24" s="17">
        <f>IF(O31&gt;100,K24-0.1,IF(O31&lt;100,K24+0.1,K24))</f>
        <v>0.1</v>
      </c>
      <c r="M24" s="18">
        <f t="shared" si="18"/>
        <v>0</v>
      </c>
      <c r="N24" s="15">
        <f t="shared" si="19"/>
        <v>0.1</v>
      </c>
      <c r="O24" s="15">
        <f t="shared" si="20"/>
        <v>0.1</v>
      </c>
      <c r="P24" s="15">
        <f t="shared" si="21"/>
        <v>0.1</v>
      </c>
      <c r="Q24" s="15">
        <f t="shared" si="22"/>
        <v>0.1</v>
      </c>
      <c r="R24" s="15">
        <f t="shared" si="23"/>
        <v>0.1</v>
      </c>
      <c r="S24" s="2"/>
      <c r="T24" s="77" t="s">
        <v>63</v>
      </c>
      <c r="U24" s="78">
        <f>'Grad 5'!I10</f>
        <v>0</v>
      </c>
      <c r="V24" s="78">
        <f>'Grad 5'!I27</f>
        <v>0</v>
      </c>
      <c r="W24" s="78">
        <f>'Grad 5'!I43</f>
        <v>0</v>
      </c>
      <c r="X24" s="79" t="str">
        <f t="shared" si="13"/>
        <v xml:space="preserve"> </v>
      </c>
      <c r="Y24" s="247" t="str">
        <f t="shared" si="14"/>
        <v xml:space="preserve"> </v>
      </c>
      <c r="Z24" s="78">
        <f>'Grad 1'!Z24</f>
        <v>0</v>
      </c>
      <c r="AA24" s="92">
        <f t="shared" si="10"/>
        <v>0</v>
      </c>
      <c r="AB24" s="92">
        <f t="shared" si="11"/>
        <v>5</v>
      </c>
      <c r="AC24" s="76" t="str">
        <f t="shared" si="12"/>
        <v>No</v>
      </c>
      <c r="AD24" s="14">
        <f t="shared" si="15"/>
        <v>0</v>
      </c>
      <c r="AE24" s="2" t="str">
        <f t="shared" si="16"/>
        <v>0-5</v>
      </c>
    </row>
    <row r="25" spans="1:31" ht="21" customHeight="1">
      <c r="A25" s="33" t="s">
        <v>235</v>
      </c>
      <c r="B25" s="186"/>
      <c r="C25" s="29"/>
      <c r="D25" s="29"/>
      <c r="E25" s="29"/>
      <c r="F25" s="29"/>
      <c r="G25" s="181">
        <f t="shared" si="25"/>
        <v>0.1</v>
      </c>
      <c r="H25" s="181">
        <f t="shared" si="24"/>
        <v>0</v>
      </c>
      <c r="I25" s="182">
        <f t="shared" si="17"/>
        <v>0</v>
      </c>
      <c r="J25" s="191" t="str">
        <f>IF('Proj Info'!B42=" "," ",'Proj Info'!B42)</f>
        <v/>
      </c>
      <c r="K25" s="17">
        <f>LARGE(M22:M29,4)</f>
        <v>0</v>
      </c>
      <c r="L25" s="17">
        <f>IF(P31&gt;100,K25-0.1,IF(P31&lt;100,K25+0.1,K25))</f>
        <v>0.1</v>
      </c>
      <c r="M25" s="18">
        <f t="shared" si="18"/>
        <v>0</v>
      </c>
      <c r="N25" s="15">
        <f t="shared" si="19"/>
        <v>0.1</v>
      </c>
      <c r="O25" s="15">
        <f t="shared" si="20"/>
        <v>0.1</v>
      </c>
      <c r="P25" s="15">
        <f t="shared" si="21"/>
        <v>0.1</v>
      </c>
      <c r="Q25" s="15">
        <f t="shared" si="22"/>
        <v>0.1</v>
      </c>
      <c r="R25" s="15">
        <f t="shared" si="23"/>
        <v>0.1</v>
      </c>
      <c r="S25" s="2"/>
      <c r="T25" s="77" t="s">
        <v>64</v>
      </c>
      <c r="U25" s="78">
        <f>'Grad 5'!I11</f>
        <v>0</v>
      </c>
      <c r="V25" s="78">
        <f>'Grad 5'!I28</f>
        <v>0</v>
      </c>
      <c r="W25" s="78">
        <f>'Grad 5'!I44</f>
        <v>0</v>
      </c>
      <c r="X25" s="79" t="str">
        <f t="shared" si="13"/>
        <v xml:space="preserve"> </v>
      </c>
      <c r="Y25" s="247" t="str">
        <f t="shared" si="14"/>
        <v xml:space="preserve"> </v>
      </c>
      <c r="Z25" s="78">
        <f>'Grad 1'!Z25</f>
        <v>0</v>
      </c>
      <c r="AA25" s="92">
        <f>IF((Z25-4)&gt;0,Z25-4,0)</f>
        <v>0</v>
      </c>
      <c r="AB25" s="92">
        <f>Z25+4</f>
        <v>4</v>
      </c>
      <c r="AC25" s="76" t="str">
        <f t="shared" si="12"/>
        <v>No</v>
      </c>
      <c r="AD25" s="14">
        <f t="shared" si="15"/>
        <v>0</v>
      </c>
      <c r="AE25" s="2" t="str">
        <f t="shared" si="16"/>
        <v>0-4</v>
      </c>
    </row>
    <row r="26" spans="1:31" ht="21" customHeight="1">
      <c r="A26" s="33" t="s">
        <v>236</v>
      </c>
      <c r="B26" s="186"/>
      <c r="C26" s="29"/>
      <c r="D26" s="29"/>
      <c r="E26" s="29"/>
      <c r="F26" s="29"/>
      <c r="G26" s="181">
        <f t="shared" si="25"/>
        <v>0.1</v>
      </c>
      <c r="H26" s="181">
        <f t="shared" si="24"/>
        <v>0</v>
      </c>
      <c r="I26" s="182">
        <f t="shared" si="17"/>
        <v>0</v>
      </c>
      <c r="J26" s="191" t="str">
        <f>IF('Proj Info'!B43=" "," ",'Proj Info'!B43)</f>
        <v/>
      </c>
      <c r="K26" s="17">
        <f>LARGE(M22:M29,5)</f>
        <v>0</v>
      </c>
      <c r="L26" s="17">
        <f>IF(Q31&gt;100,K26-0.1,IF(Q31&lt;100,K26+0.1,K26))</f>
        <v>0.1</v>
      </c>
      <c r="M26" s="18">
        <f t="shared" si="18"/>
        <v>0</v>
      </c>
      <c r="N26" s="15">
        <f t="shared" si="19"/>
        <v>0.1</v>
      </c>
      <c r="O26" s="15">
        <f t="shared" si="20"/>
        <v>0.1</v>
      </c>
      <c r="P26" s="15">
        <f t="shared" si="21"/>
        <v>0.1</v>
      </c>
      <c r="Q26" s="15">
        <f t="shared" si="22"/>
        <v>0.1</v>
      </c>
      <c r="R26" s="15">
        <f t="shared" si="23"/>
        <v>0.1</v>
      </c>
      <c r="S26" s="2"/>
      <c r="T26" s="77" t="s">
        <v>65</v>
      </c>
      <c r="U26" s="80">
        <f>U25-($U$25-$U$30)/5</f>
        <v>0</v>
      </c>
      <c r="V26" s="80">
        <f>V25-($V$25-$V$30)/5</f>
        <v>0</v>
      </c>
      <c r="W26" s="78">
        <f>'Grad 5'!I45</f>
        <v>0</v>
      </c>
      <c r="X26" s="79" t="str">
        <f t="shared" si="13"/>
        <v xml:space="preserve"> </v>
      </c>
      <c r="Y26" s="247" t="str">
        <f t="shared" si="14"/>
        <v xml:space="preserve"> </v>
      </c>
      <c r="Z26" s="78">
        <f>'Grad 1'!Z26</f>
        <v>0</v>
      </c>
      <c r="AA26" s="92">
        <f>IF((Z26-4)&gt;0,Z26-4,0)</f>
        <v>0</v>
      </c>
      <c r="AB26" s="92">
        <f>Z26+4</f>
        <v>4</v>
      </c>
      <c r="AC26" s="76" t="str">
        <f t="shared" si="12"/>
        <v>No</v>
      </c>
      <c r="AD26" s="14">
        <f t="shared" si="15"/>
        <v>0</v>
      </c>
      <c r="AE26" s="2" t="str">
        <f t="shared" si="16"/>
        <v>0-4</v>
      </c>
    </row>
    <row r="27" spans="1:31" ht="21" customHeight="1">
      <c r="A27" s="33" t="s">
        <v>237</v>
      </c>
      <c r="B27" s="186"/>
      <c r="C27" s="29"/>
      <c r="D27" s="29"/>
      <c r="E27" s="29"/>
      <c r="F27" s="29"/>
      <c r="G27" s="181">
        <f t="shared" si="25"/>
        <v>0.1</v>
      </c>
      <c r="H27" s="181">
        <f t="shared" si="24"/>
        <v>0</v>
      </c>
      <c r="I27" s="182">
        <f t="shared" si="17"/>
        <v>0</v>
      </c>
      <c r="J27" s="191" t="str">
        <f>IF('Proj Info'!B44=" "," ",'Proj Info'!B44)</f>
        <v/>
      </c>
      <c r="K27" s="17"/>
      <c r="L27" s="17"/>
      <c r="M27" s="18">
        <f t="shared" si="18"/>
        <v>0</v>
      </c>
      <c r="N27" s="15">
        <f t="shared" si="19"/>
        <v>0.1</v>
      </c>
      <c r="O27" s="15">
        <f t="shared" si="20"/>
        <v>0.1</v>
      </c>
      <c r="P27" s="15">
        <f t="shared" si="21"/>
        <v>0.1</v>
      </c>
      <c r="Q27" s="15">
        <f t="shared" si="22"/>
        <v>0.1</v>
      </c>
      <c r="R27" s="15">
        <f t="shared" si="23"/>
        <v>0.1</v>
      </c>
      <c r="S27" s="2"/>
      <c r="T27" s="77" t="s">
        <v>66</v>
      </c>
      <c r="U27" s="80">
        <f>U26-($U$25-$U$30)/5</f>
        <v>0</v>
      </c>
      <c r="V27" s="80">
        <f>V26-($V$25-$V$30)/5</f>
        <v>0</v>
      </c>
      <c r="W27" s="78">
        <f>'Grad 5'!I46</f>
        <v>0</v>
      </c>
      <c r="X27" s="79" t="str">
        <f t="shared" si="13"/>
        <v xml:space="preserve"> </v>
      </c>
      <c r="Y27" s="247" t="str">
        <f t="shared" si="14"/>
        <v xml:space="preserve"> </v>
      </c>
      <c r="Z27" s="78">
        <f>'Grad 1'!Z27</f>
        <v>0</v>
      </c>
      <c r="AA27" s="92">
        <f>IF((Z27-4)&gt;0,Z27-4,0)</f>
        <v>0</v>
      </c>
      <c r="AB27" s="92">
        <f>Z27+4</f>
        <v>4</v>
      </c>
      <c r="AC27" s="76" t="str">
        <f t="shared" si="12"/>
        <v>No</v>
      </c>
      <c r="AD27" s="14">
        <f t="shared" si="15"/>
        <v>0</v>
      </c>
      <c r="AE27" s="2" t="str">
        <f t="shared" si="16"/>
        <v>0-4</v>
      </c>
    </row>
    <row r="28" spans="1:31" ht="21" customHeight="1" thickBot="1">
      <c r="A28" s="33" t="s">
        <v>238</v>
      </c>
      <c r="B28" s="186"/>
      <c r="C28" s="29"/>
      <c r="D28" s="36" t="s">
        <v>27</v>
      </c>
      <c r="E28" s="29"/>
      <c r="F28" s="29"/>
      <c r="G28" s="181">
        <f t="shared" si="25"/>
        <v>0.1</v>
      </c>
      <c r="H28" s="181">
        <f t="shared" si="24"/>
        <v>0</v>
      </c>
      <c r="I28" s="182">
        <f t="shared" si="17"/>
        <v>0</v>
      </c>
      <c r="J28" s="191" t="str">
        <f>IF('Proj Info'!B45=" "," ",'Proj Info'!B45)</f>
        <v/>
      </c>
      <c r="K28" s="17"/>
      <c r="L28" s="17"/>
      <c r="M28" s="18">
        <f t="shared" si="18"/>
        <v>0</v>
      </c>
      <c r="N28" s="15">
        <f t="shared" si="19"/>
        <v>0.1</v>
      </c>
      <c r="O28" s="15">
        <f t="shared" si="20"/>
        <v>0.1</v>
      </c>
      <c r="P28" s="15">
        <f t="shared" si="21"/>
        <v>0.1</v>
      </c>
      <c r="Q28" s="15">
        <f t="shared" si="22"/>
        <v>0.1</v>
      </c>
      <c r="R28" s="15">
        <f t="shared" si="23"/>
        <v>0.1</v>
      </c>
      <c r="S28" s="2"/>
      <c r="T28" s="77" t="s">
        <v>67</v>
      </c>
      <c r="U28" s="80">
        <f>U27-($U$25-$U$30)/5</f>
        <v>0</v>
      </c>
      <c r="V28" s="80">
        <f>V27-($V$25-$V$30)/5</f>
        <v>0</v>
      </c>
      <c r="W28" s="78">
        <f>'Grad 5'!I47</f>
        <v>0</v>
      </c>
      <c r="X28" s="79" t="str">
        <f t="shared" si="13"/>
        <v xml:space="preserve"> </v>
      </c>
      <c r="Y28" s="247" t="str">
        <f t="shared" si="14"/>
        <v xml:space="preserve"> </v>
      </c>
      <c r="Z28" s="78">
        <f>'Grad 1'!Z28</f>
        <v>0</v>
      </c>
      <c r="AA28" s="92">
        <f>IF((Z28-3)&gt;0,Z28-3,0)</f>
        <v>0</v>
      </c>
      <c r="AB28" s="92">
        <f>Z28+3</f>
        <v>3</v>
      </c>
      <c r="AC28" s="76" t="str">
        <f t="shared" si="12"/>
        <v>No</v>
      </c>
      <c r="AD28" s="14">
        <f t="shared" si="15"/>
        <v>0</v>
      </c>
      <c r="AE28" s="2" t="str">
        <f t="shared" si="16"/>
        <v>0-3</v>
      </c>
    </row>
    <row r="29" spans="1:31" ht="21" customHeight="1" thickBot="1">
      <c r="A29" s="33" t="s">
        <v>39</v>
      </c>
      <c r="B29" s="179"/>
      <c r="C29" s="29"/>
      <c r="D29" s="184">
        <f>IF(B29="",0,SUM(B22:B29))</f>
        <v>0</v>
      </c>
      <c r="E29" s="29"/>
      <c r="F29" s="29"/>
      <c r="G29" s="181">
        <f t="shared" si="25"/>
        <v>0.1</v>
      </c>
      <c r="H29" s="37"/>
      <c r="I29" s="37"/>
      <c r="J29" s="194"/>
      <c r="K29" s="17"/>
      <c r="L29" s="17"/>
      <c r="M29" s="18">
        <f t="shared" si="18"/>
        <v>0</v>
      </c>
      <c r="N29" s="15">
        <f t="shared" si="19"/>
        <v>0.1</v>
      </c>
      <c r="O29" s="15">
        <f t="shared" si="20"/>
        <v>0.1</v>
      </c>
      <c r="P29" s="15">
        <f t="shared" si="21"/>
        <v>0.1</v>
      </c>
      <c r="Q29" s="15">
        <f t="shared" si="22"/>
        <v>0.1</v>
      </c>
      <c r="R29" s="15">
        <f t="shared" si="23"/>
        <v>0.1</v>
      </c>
      <c r="S29" s="2"/>
      <c r="T29" s="77" t="s">
        <v>68</v>
      </c>
      <c r="U29" s="80">
        <f>U28-($U$25-$U$30)/5</f>
        <v>0</v>
      </c>
      <c r="V29" s="80">
        <f>V28-($V$25-$V$30)/5</f>
        <v>0</v>
      </c>
      <c r="W29" s="78">
        <f>'Grad 5'!I48</f>
        <v>0</v>
      </c>
      <c r="X29" s="79" t="str">
        <f t="shared" si="13"/>
        <v xml:space="preserve"> </v>
      </c>
      <c r="Y29" s="247" t="str">
        <f t="shared" si="14"/>
        <v xml:space="preserve"> </v>
      </c>
      <c r="Z29" s="78">
        <f>'Grad 1'!Z29</f>
        <v>0</v>
      </c>
      <c r="AA29" s="92">
        <f>IF((Z29-2)&gt;0,Z29-2,0)</f>
        <v>0</v>
      </c>
      <c r="AB29" s="92">
        <f>Z29+2</f>
        <v>2</v>
      </c>
      <c r="AC29" s="76" t="str">
        <f t="shared" si="12"/>
        <v>No</v>
      </c>
      <c r="AD29" s="14">
        <f t="shared" si="15"/>
        <v>0</v>
      </c>
      <c r="AE29" s="2" t="str">
        <f t="shared" si="16"/>
        <v>0-2</v>
      </c>
    </row>
    <row r="30" spans="1:31" ht="21" customHeight="1">
      <c r="A30" s="229" t="s">
        <v>239</v>
      </c>
      <c r="B30" s="187"/>
      <c r="C30" s="37" t="s">
        <v>37</v>
      </c>
      <c r="D30" s="29"/>
      <c r="E30" s="29"/>
      <c r="F30" s="29"/>
      <c r="G30" s="181">
        <f>SUM(G22:G29)</f>
        <v>0.79999999999999993</v>
      </c>
      <c r="H30" s="183"/>
      <c r="I30" s="183"/>
      <c r="J30" s="194"/>
      <c r="K30" s="14"/>
      <c r="L30" s="14"/>
      <c r="M30" s="16"/>
      <c r="N30" s="17"/>
      <c r="O30" s="19"/>
      <c r="P30" s="19"/>
      <c r="Q30" s="19"/>
      <c r="R30" s="19"/>
      <c r="S30" s="2"/>
      <c r="T30" s="77" t="s">
        <v>17</v>
      </c>
      <c r="U30" s="78">
        <f>'Grad 5'!$I$14</f>
        <v>0</v>
      </c>
      <c r="V30" s="78">
        <f>'Grad 5'!$I$31</f>
        <v>0</v>
      </c>
      <c r="W30" s="78">
        <f>'Grad 5'!I49</f>
        <v>0</v>
      </c>
      <c r="X30" s="79" t="str">
        <f t="shared" si="13"/>
        <v xml:space="preserve"> </v>
      </c>
      <c r="Y30" s="247" t="str">
        <f t="shared" si="14"/>
        <v xml:space="preserve"> </v>
      </c>
      <c r="Z30" s="78">
        <f>'Grad 1'!Z30</f>
        <v>1.5</v>
      </c>
      <c r="AA30" s="92">
        <v>0</v>
      </c>
      <c r="AB30" s="78">
        <f>Z30</f>
        <v>1.5</v>
      </c>
      <c r="AC30" s="76" t="str">
        <f t="shared" si="12"/>
        <v>No</v>
      </c>
      <c r="AD30" s="14">
        <f t="shared" si="15"/>
        <v>0</v>
      </c>
      <c r="AE30" s="2" t="str">
        <f t="shared" si="16"/>
        <v>0-1.5</v>
      </c>
    </row>
    <row r="31" spans="1:31" ht="21" customHeight="1" thickBot="1">
      <c r="A31" s="230" t="s">
        <v>240</v>
      </c>
      <c r="B31" s="188"/>
      <c r="C31" s="37" t="s">
        <v>38</v>
      </c>
      <c r="D31" s="29"/>
      <c r="E31" s="29"/>
      <c r="F31" s="29"/>
      <c r="G31" s="183"/>
      <c r="H31" s="38" t="s">
        <v>17</v>
      </c>
      <c r="I31" s="180">
        <f>ROUND(IF(B34=0,0,SUM(B34/B30)*100),1)</f>
        <v>0</v>
      </c>
      <c r="J31" s="191" t="str">
        <f>IF('Proj Info'!B46=" "," ",'Proj Info'!B46)</f>
        <v/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S31" s="2"/>
      <c r="T31" s="81"/>
      <c r="U31" s="83"/>
      <c r="V31" s="83"/>
      <c r="W31" s="83"/>
      <c r="X31" s="82"/>
      <c r="Y31" s="82"/>
      <c r="Z31" s="87"/>
      <c r="AA31" s="83"/>
      <c r="AB31" s="83"/>
      <c r="AC31" s="71"/>
      <c r="AD31" s="14">
        <f>+SUM(AD19:AD30)</f>
        <v>0</v>
      </c>
      <c r="AE31" s="2" t="str">
        <f>IF(AD31=12,"Y","N")</f>
        <v>N</v>
      </c>
    </row>
    <row r="32" spans="1:31" ht="21" customHeight="1" thickTop="1">
      <c r="A32" s="33" t="s">
        <v>39</v>
      </c>
      <c r="B32" s="179"/>
      <c r="C32" s="37" t="s">
        <v>40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S32" s="2"/>
      <c r="T32" s="2"/>
      <c r="U32" s="2"/>
      <c r="V32" s="2"/>
      <c r="W32" s="2"/>
      <c r="X32" s="2" t="s">
        <v>128</v>
      </c>
      <c r="Y32" s="263" t="str">
        <f>IF(B4="","",((100-Y19)+(Y19-Y20)+(Y20-Y21)+(Y21-Y22)+(Y22-Y23))/((100-Y19)+(Y19-Y20)+(Y20-Y21)+(Y21-Y22)+(Y22-Y23)+(Y23-Y24)+(Y24-Y25))*100)</f>
        <v/>
      </c>
      <c r="Z32" s="2"/>
      <c r="AA32" s="2"/>
      <c r="AB32" s="2"/>
      <c r="AC32" s="2"/>
      <c r="AD32" s="2"/>
      <c r="AE32" s="2"/>
    </row>
    <row r="33" spans="1:31" ht="21" customHeight="1">
      <c r="A33" s="33" t="s">
        <v>41</v>
      </c>
      <c r="B33" s="180">
        <f>IF(B31="",0,SUM(B30-B31))</f>
        <v>0</v>
      </c>
      <c r="C33" s="37" t="s">
        <v>42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S33" s="2"/>
      <c r="T33" s="2"/>
      <c r="U33" s="2"/>
      <c r="V33" s="2"/>
      <c r="W33" s="2"/>
      <c r="X33" s="2" t="s">
        <v>129</v>
      </c>
      <c r="Y33" s="263" t="str">
        <f>IF(Y25="","",Y25)</f>
        <v xml:space="preserve"> </v>
      </c>
      <c r="Z33" s="2"/>
      <c r="AA33" s="2"/>
      <c r="AB33" s="2"/>
      <c r="AC33" s="2"/>
      <c r="AD33" s="2"/>
      <c r="AE33" s="2"/>
    </row>
    <row r="34" spans="1:31" ht="21" customHeight="1">
      <c r="A34" s="33" t="s">
        <v>43</v>
      </c>
      <c r="B34" s="189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1" customHeight="1">
      <c r="A35" s="33" t="s">
        <v>241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21" customHeight="1">
      <c r="A38" s="232" t="s">
        <v>242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21" customHeight="1">
      <c r="A39" s="233" t="s">
        <v>243</v>
      </c>
      <c r="B39" s="179"/>
      <c r="C39" s="287" t="s">
        <v>45</v>
      </c>
      <c r="D39" s="288"/>
      <c r="E39" s="177">
        <f>ROUND(IF(D51=0,0,SUM(D51/B39)*100),1)</f>
        <v>0</v>
      </c>
      <c r="F39" s="31" t="s">
        <v>32</v>
      </c>
      <c r="G39" s="10" t="s">
        <v>46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21" customHeight="1">
      <c r="A40" s="233" t="s">
        <v>244</v>
      </c>
      <c r="B40" s="179"/>
      <c r="C40" s="29"/>
      <c r="D40" s="292" t="str">
        <f>IF(E39&lt;5,"",IF(E39&lt;99.5,"Check Weights.",IF(E39&gt;100.5,"Check Weights","")))</f>
        <v/>
      </c>
      <c r="E40" s="293"/>
      <c r="F40" s="29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21" customHeight="1">
      <c r="A41" s="33" t="s">
        <v>235</v>
      </c>
      <c r="B41" s="179"/>
      <c r="C41" s="29"/>
      <c r="D41" s="34"/>
      <c r="E41" s="29"/>
      <c r="F41" s="29"/>
      <c r="G41" s="180">
        <f t="shared" ref="G41:G47" si="27">IF($M$52=100,$M41,IF($N$52=100,$N41,IF($O$52=100,$O41,IF($P$52=100,$P41,IF($Q$52=100,$Q41,IF($R$52=100,$R41,$R41))))))</f>
        <v>0.1</v>
      </c>
      <c r="H41" s="180">
        <f>IF(D51=0,0,100-G41)</f>
        <v>0</v>
      </c>
      <c r="I41" s="190">
        <f t="shared" ref="I41:I49" si="28">IF(H41&gt;9.9,ROUND(H41,0),ROUND(H41,1))</f>
        <v>0</v>
      </c>
      <c r="J41" s="13"/>
      <c r="K41" s="14"/>
      <c r="L41" s="14"/>
      <c r="M41" s="22">
        <f t="shared" ref="M41:M49" si="29">ROUND(IF(B41="",0,SUM(B41/$B$39)*100),1)</f>
        <v>0</v>
      </c>
      <c r="N41" s="19">
        <f>IF(M41=K42,L42,M41)</f>
        <v>0</v>
      </c>
      <c r="O41" s="23">
        <f t="shared" ref="O41:O50" si="30">IF(N41=K$44,L$44,N41)</f>
        <v>0.1</v>
      </c>
      <c r="P41" s="23">
        <f t="shared" ref="P41:P50" si="31">IF(O41=K$45,L$45,O41)</f>
        <v>0.1</v>
      </c>
      <c r="Q41" s="23">
        <f t="shared" ref="Q41:Q50" si="32">IF(P41=K$46,L$46,P41)</f>
        <v>0.1</v>
      </c>
      <c r="R41" s="23">
        <f>IF(Q41=K$46,L$46,Q41)</f>
        <v>0.1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21" customHeight="1">
      <c r="A42" s="33" t="s">
        <v>236</v>
      </c>
      <c r="B42" s="179"/>
      <c r="C42" s="29"/>
      <c r="D42" s="29"/>
      <c r="E42" s="29"/>
      <c r="F42" s="29"/>
      <c r="G42" s="180">
        <f t="shared" si="27"/>
        <v>0.1</v>
      </c>
      <c r="H42" s="180">
        <f t="shared" ref="H42:H49" si="33">IF(H41=0,0,(H41-G42))</f>
        <v>0</v>
      </c>
      <c r="I42" s="190">
        <f t="shared" si="28"/>
        <v>0</v>
      </c>
      <c r="J42" s="13" t="str">
        <f>IF('Proj Info'!B47=" "," ",'Proj Info'!B47)</f>
        <v/>
      </c>
      <c r="K42" s="14"/>
      <c r="L42" s="14"/>
      <c r="M42" s="22">
        <f t="shared" si="29"/>
        <v>0</v>
      </c>
      <c r="N42" s="19">
        <f>IF(M42=K43,L43,M42)</f>
        <v>0.1</v>
      </c>
      <c r="O42" s="23">
        <f t="shared" si="30"/>
        <v>0.1</v>
      </c>
      <c r="P42" s="23">
        <f t="shared" si="31"/>
        <v>0.1</v>
      </c>
      <c r="Q42" s="23">
        <f t="shared" si="32"/>
        <v>0.1</v>
      </c>
      <c r="R42" s="23">
        <f>IF(Q42=K$46,L$46,Q42)</f>
        <v>0.1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21" customHeight="1">
      <c r="A43" s="33" t="s">
        <v>237</v>
      </c>
      <c r="B43" s="179"/>
      <c r="C43" s="29"/>
      <c r="D43" s="29"/>
      <c r="E43" s="29"/>
      <c r="F43" s="29"/>
      <c r="G43" s="180">
        <f t="shared" si="27"/>
        <v>0.1</v>
      </c>
      <c r="H43" s="180">
        <f t="shared" si="33"/>
        <v>0</v>
      </c>
      <c r="I43" s="190">
        <f t="shared" si="28"/>
        <v>0</v>
      </c>
      <c r="J43" s="13" t="str">
        <f>IF('Proj Info'!B48=" "," ",'Proj Info'!B48)</f>
        <v/>
      </c>
      <c r="K43" s="17">
        <f>LARGE(M43:M47,1)</f>
        <v>0</v>
      </c>
      <c r="L43" s="17">
        <f>IF(M52&lt;100,(K43+0.1),IF(M52&gt;100,(K43-0.1),K43))</f>
        <v>0.1</v>
      </c>
      <c r="M43" s="22">
        <f t="shared" si="29"/>
        <v>0</v>
      </c>
      <c r="N43" s="19">
        <f t="shared" ref="N43:N50" si="34">IF(M43=$K$43,$L$43,M43)</f>
        <v>0.1</v>
      </c>
      <c r="O43" s="23">
        <f t="shared" si="30"/>
        <v>0.1</v>
      </c>
      <c r="P43" s="23">
        <f t="shared" si="31"/>
        <v>0.1</v>
      </c>
      <c r="Q43" s="23">
        <f t="shared" si="32"/>
        <v>0.1</v>
      </c>
      <c r="R43" s="23">
        <f t="shared" ref="R43:R50" si="35">IF(Q43=K$47,L$47,Q43)</f>
        <v>0.1</v>
      </c>
    </row>
    <row r="44" spans="1:31" ht="21" customHeight="1">
      <c r="A44" s="33" t="s">
        <v>238</v>
      </c>
      <c r="B44" s="179"/>
      <c r="C44" s="29"/>
      <c r="D44" s="29"/>
      <c r="E44" s="29"/>
      <c r="F44" s="29"/>
      <c r="G44" s="180">
        <f t="shared" si="27"/>
        <v>0.1</v>
      </c>
      <c r="H44" s="180">
        <f t="shared" si="33"/>
        <v>0</v>
      </c>
      <c r="I44" s="190">
        <f t="shared" si="28"/>
        <v>0</v>
      </c>
      <c r="J44" s="13" t="str">
        <f>IF('Proj Info'!B49=" "," ",'Proj Info'!B49)</f>
        <v/>
      </c>
      <c r="K44" s="17">
        <f>LARGE(M43:M47,2)</f>
        <v>0</v>
      </c>
      <c r="L44" s="17">
        <f>IF(N52&lt;100,(K44+0.1),IF(N52&gt;100,(K44-0.1),K44))</f>
        <v>0.1</v>
      </c>
      <c r="M44" s="22">
        <f t="shared" si="29"/>
        <v>0</v>
      </c>
      <c r="N44" s="19">
        <f t="shared" si="34"/>
        <v>0.1</v>
      </c>
      <c r="O44" s="23">
        <f t="shared" si="30"/>
        <v>0.1</v>
      </c>
      <c r="P44" s="23">
        <f t="shared" si="31"/>
        <v>0.1</v>
      </c>
      <c r="Q44" s="23">
        <f t="shared" si="32"/>
        <v>0.1</v>
      </c>
      <c r="R44" s="23">
        <f t="shared" si="35"/>
        <v>0.1</v>
      </c>
    </row>
    <row r="45" spans="1:31" ht="21" customHeight="1">
      <c r="A45" s="33" t="s">
        <v>245</v>
      </c>
      <c r="B45" s="179"/>
      <c r="C45" s="29"/>
      <c r="D45" s="29"/>
      <c r="E45" s="29"/>
      <c r="F45" s="29"/>
      <c r="G45" s="180">
        <f t="shared" si="27"/>
        <v>0.1</v>
      </c>
      <c r="H45" s="180">
        <f t="shared" si="33"/>
        <v>0</v>
      </c>
      <c r="I45" s="190">
        <f t="shared" si="28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29"/>
        <v>0</v>
      </c>
      <c r="N45" s="19">
        <f t="shared" si="34"/>
        <v>0.1</v>
      </c>
      <c r="O45" s="23">
        <f t="shared" si="30"/>
        <v>0.1</v>
      </c>
      <c r="P45" s="23">
        <f t="shared" si="31"/>
        <v>0.1</v>
      </c>
      <c r="Q45" s="23">
        <f t="shared" si="32"/>
        <v>0.1</v>
      </c>
      <c r="R45" s="23">
        <f t="shared" si="35"/>
        <v>0.1</v>
      </c>
    </row>
    <row r="46" spans="1:31" ht="21" customHeight="1">
      <c r="A46" s="33" t="s">
        <v>246</v>
      </c>
      <c r="B46" s="179"/>
      <c r="C46" s="29"/>
      <c r="D46" s="29"/>
      <c r="E46" s="29"/>
      <c r="F46" s="29"/>
      <c r="G46" s="180">
        <f t="shared" si="27"/>
        <v>0.1</v>
      </c>
      <c r="H46" s="180">
        <f t="shared" si="33"/>
        <v>0</v>
      </c>
      <c r="I46" s="190">
        <f t="shared" si="28"/>
        <v>0</v>
      </c>
      <c r="J46" s="13" t="str">
        <f>IF('Proj Info'!B50=" "," ",'Proj Info'!B50)</f>
        <v/>
      </c>
      <c r="K46" s="17">
        <f>LARGE(M43:M47,4)</f>
        <v>0</v>
      </c>
      <c r="L46" s="17">
        <f>IF(P52&gt;100,K46-0.1,IF(P52&lt;100,K46+0.1,K46))</f>
        <v>0.1</v>
      </c>
      <c r="M46" s="22">
        <f t="shared" si="29"/>
        <v>0</v>
      </c>
      <c r="N46" s="19">
        <f t="shared" si="34"/>
        <v>0.1</v>
      </c>
      <c r="O46" s="23">
        <f t="shared" si="30"/>
        <v>0.1</v>
      </c>
      <c r="P46" s="23">
        <f t="shared" si="31"/>
        <v>0.1</v>
      </c>
      <c r="Q46" s="23">
        <f t="shared" si="32"/>
        <v>0.1</v>
      </c>
      <c r="R46" s="23">
        <f t="shared" si="35"/>
        <v>0.1</v>
      </c>
    </row>
    <row r="47" spans="1:31" ht="21" customHeight="1">
      <c r="A47" s="33" t="s">
        <v>247</v>
      </c>
      <c r="B47" s="179"/>
      <c r="C47" s="29"/>
      <c r="D47" s="29"/>
      <c r="E47" s="29"/>
      <c r="F47" s="29"/>
      <c r="G47" s="180">
        <f t="shared" si="27"/>
        <v>0.1</v>
      </c>
      <c r="H47" s="180">
        <f t="shared" si="33"/>
        <v>0</v>
      </c>
      <c r="I47" s="190">
        <f t="shared" si="28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29"/>
        <v>0</v>
      </c>
      <c r="N47" s="19">
        <f t="shared" si="34"/>
        <v>0.1</v>
      </c>
      <c r="O47" s="23">
        <f t="shared" si="30"/>
        <v>0.1</v>
      </c>
      <c r="P47" s="23">
        <f t="shared" si="31"/>
        <v>0.1</v>
      </c>
      <c r="Q47" s="23">
        <f t="shared" si="32"/>
        <v>0.1</v>
      </c>
      <c r="R47" s="23">
        <f t="shared" si="35"/>
        <v>0.1</v>
      </c>
    </row>
    <row r="48" spans="1:31" ht="21" customHeight="1">
      <c r="A48" s="33" t="s">
        <v>248</v>
      </c>
      <c r="B48" s="179"/>
      <c r="C48" s="29"/>
      <c r="D48" s="29"/>
      <c r="E48" s="29"/>
      <c r="F48" s="29"/>
      <c r="G48" s="180">
        <f>IF($M$52=100,$M48,IF($N$52=100,$N48,IF($O$52=100,$O48,IF($P$52=100,$P48,IF($Q$52=100,$Q48,IF($R$52=100,$R48,$R48))))))</f>
        <v>0.1</v>
      </c>
      <c r="H48" s="180">
        <f t="shared" si="33"/>
        <v>0</v>
      </c>
      <c r="I48" s="190">
        <f t="shared" si="28"/>
        <v>0</v>
      </c>
      <c r="J48" s="20"/>
      <c r="K48" s="17"/>
      <c r="L48" s="17"/>
      <c r="M48" s="22">
        <f t="shared" si="29"/>
        <v>0</v>
      </c>
      <c r="N48" s="19">
        <f t="shared" si="34"/>
        <v>0.1</v>
      </c>
      <c r="O48" s="23">
        <f t="shared" si="30"/>
        <v>0.1</v>
      </c>
      <c r="P48" s="23">
        <f t="shared" si="31"/>
        <v>0.1</v>
      </c>
      <c r="Q48" s="23">
        <f t="shared" si="32"/>
        <v>0.1</v>
      </c>
      <c r="R48" s="23">
        <f t="shared" si="35"/>
        <v>0.1</v>
      </c>
    </row>
    <row r="49" spans="1:18" ht="21" customHeight="1">
      <c r="A49" s="33" t="s">
        <v>249</v>
      </c>
      <c r="B49" s="179"/>
      <c r="C49" s="29"/>
      <c r="D49" s="29"/>
      <c r="E49" s="29"/>
      <c r="F49" s="29"/>
      <c r="G49" s="180">
        <f>IF($M$52=100,$M49,IF($N$52=100,$N49,IF($O$52=100,$O49,IF($P$52=100,$P49,IF($Q$52=100,$Q49,IF($R$52=100,$R49,$R49))))))</f>
        <v>0.1</v>
      </c>
      <c r="H49" s="180">
        <f t="shared" si="33"/>
        <v>0</v>
      </c>
      <c r="I49" s="190">
        <f t="shared" si="28"/>
        <v>0</v>
      </c>
      <c r="J49" s="13" t="str">
        <f>IF('Proj Info'!B51=" "," ",'Proj Info'!B51)</f>
        <v/>
      </c>
      <c r="K49" s="17"/>
      <c r="L49" s="17"/>
      <c r="M49" s="22">
        <f t="shared" si="29"/>
        <v>0</v>
      </c>
      <c r="N49" s="19">
        <f t="shared" si="34"/>
        <v>0.1</v>
      </c>
      <c r="O49" s="23">
        <f t="shared" si="30"/>
        <v>0.1</v>
      </c>
      <c r="P49" s="23">
        <f t="shared" si="31"/>
        <v>0.1</v>
      </c>
      <c r="Q49" s="23">
        <f t="shared" si="32"/>
        <v>0.1</v>
      </c>
      <c r="R49" s="23">
        <f t="shared" si="35"/>
        <v>0.1</v>
      </c>
    </row>
    <row r="50" spans="1:18" ht="21" customHeight="1" thickBot="1">
      <c r="A50" s="33" t="s">
        <v>47</v>
      </c>
      <c r="B50" s="179"/>
      <c r="C50" s="29"/>
      <c r="D50" s="36" t="s">
        <v>27</v>
      </c>
      <c r="E50" s="29"/>
      <c r="F50" s="29"/>
      <c r="G50" s="180">
        <f>IF($M$52=100,$M50,IF($N$52=100,$N50,IF($O$52=100,$O50,IF($P$52=100,$P50,IF($Q$52=100,$Q50,IF($R$52=100,$R50,$R50))))))</f>
        <v>0.1</v>
      </c>
      <c r="H50" s="176"/>
      <c r="I50" s="176"/>
      <c r="J50" s="176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0"/>
        <v>0.1</v>
      </c>
      <c r="P50" s="23">
        <f t="shared" si="31"/>
        <v>0.1</v>
      </c>
      <c r="Q50" s="23">
        <f t="shared" si="32"/>
        <v>0.1</v>
      </c>
      <c r="R50" s="23">
        <f t="shared" si="35"/>
        <v>0.1</v>
      </c>
    </row>
    <row r="51" spans="1:18" ht="21" customHeight="1" thickBot="1">
      <c r="A51" s="33" t="s">
        <v>48</v>
      </c>
      <c r="B51" s="180">
        <f>IF(B40="",0,SUM(B39-B40))</f>
        <v>0</v>
      </c>
      <c r="C51" s="29"/>
      <c r="D51" s="178">
        <f>IF(B50="",0,SUM(B41:B51))</f>
        <v>0</v>
      </c>
      <c r="E51" s="29"/>
      <c r="F51" s="29"/>
      <c r="G51" s="180">
        <f>IF(G50="",0,SUM(G41:G50))</f>
        <v>0.99999999999999989</v>
      </c>
      <c r="H51" s="176"/>
      <c r="I51" s="176"/>
      <c r="J51" s="176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147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qUhfpNaXbsPX4R4O+g0g2/hrn63fRHprHlYw0JeKGn5yN3YAbQ3y4UqfCRohPUxRYUCt7WAiXEPoaTnCIJeBUw==" saltValue="YBZO/8kW/hksFLXJeZRlXA==" spinCount="100000" sheet="1"/>
  <mergeCells count="6">
    <mergeCell ref="C39:D39"/>
    <mergeCell ref="D40:E40"/>
    <mergeCell ref="C4:D4"/>
    <mergeCell ref="D5:E5"/>
    <mergeCell ref="C21:D21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AD372"/>
  <sheetViews>
    <sheetView showZeros="0" defaultGridColor="0" view="pageBreakPreview" colorId="22" zoomScale="50" zoomScaleNormal="60" workbookViewId="0">
      <selection activeCell="I24" sqref="I24"/>
    </sheetView>
  </sheetViews>
  <sheetFormatPr defaultColWidth="9.77734375" defaultRowHeight="15"/>
  <cols>
    <col min="1" max="1" width="18.77734375" style="2" customWidth="1"/>
    <col min="2" max="3" width="12.77734375" style="2" customWidth="1"/>
    <col min="4" max="4" width="17.77734375" style="2" customWidth="1"/>
    <col min="5" max="5" width="11.77734375" style="2" customWidth="1"/>
    <col min="6" max="6" width="13.77734375" style="2" customWidth="1"/>
    <col min="7" max="11" width="11.77734375" style="2" customWidth="1"/>
    <col min="12" max="12" width="14" style="2" customWidth="1"/>
    <col min="13" max="14" width="11.77734375" style="2" customWidth="1"/>
    <col min="15" max="15" width="11.33203125" style="2" customWidth="1"/>
    <col min="16" max="16" width="12.6640625" style="2" customWidth="1"/>
    <col min="17" max="17" width="11.6640625" style="2" customWidth="1"/>
    <col min="18" max="18" width="9.77734375" style="2"/>
    <col min="19" max="19" width="10.77734375" style="2" customWidth="1"/>
    <col min="20" max="20" width="10.5546875" style="2" customWidth="1"/>
    <col min="21" max="21" width="9.5546875" style="2" customWidth="1"/>
    <col min="22" max="22" width="8.6640625" style="2" customWidth="1"/>
    <col min="23" max="23" width="9.77734375" style="2"/>
    <col min="24" max="25" width="11.77734375" style="2" customWidth="1"/>
    <col min="26" max="26" width="12.6640625" style="2" customWidth="1"/>
    <col min="27" max="27" width="6.77734375" style="2" hidden="1" customWidth="1"/>
    <col min="28" max="28" width="7.77734375" style="2" customWidth="1"/>
    <col min="29" max="29" width="9.77734375" style="2"/>
    <col min="30" max="30" width="5.77734375" style="2" customWidth="1"/>
    <col min="31" max="16384" width="9.77734375" style="2"/>
  </cols>
  <sheetData>
    <row r="1" spans="1:30" ht="27" customHeight="1">
      <c r="A1" s="8" t="s">
        <v>136</v>
      </c>
      <c r="F1" s="4"/>
      <c r="G1" s="3"/>
      <c r="H1" s="3"/>
      <c r="I1" s="3"/>
      <c r="J1" s="3"/>
      <c r="K1" s="3"/>
      <c r="L1" s="5"/>
      <c r="M1" s="3"/>
      <c r="N1" s="5"/>
      <c r="O1" s="5"/>
      <c r="P1" s="5"/>
      <c r="Q1" s="5"/>
      <c r="R1" s="3"/>
      <c r="S1" s="3"/>
      <c r="T1" s="3"/>
      <c r="U1" s="3"/>
      <c r="V1" s="3"/>
      <c r="W1" s="3"/>
      <c r="X1" s="3"/>
      <c r="Y1" s="3"/>
      <c r="Z1" s="4"/>
      <c r="AA1" s="3"/>
      <c r="AB1" s="3"/>
      <c r="AC1" s="6"/>
      <c r="AD1" s="7"/>
    </row>
    <row r="2" spans="1:30" ht="27" customHeight="1">
      <c r="A2" s="93" t="s">
        <v>250</v>
      </c>
      <c r="D2" s="8"/>
      <c r="E2" s="93"/>
      <c r="F2" s="4"/>
      <c r="G2" s="3"/>
      <c r="H2" s="3"/>
      <c r="I2" s="3"/>
      <c r="J2" s="3"/>
      <c r="K2" s="3"/>
      <c r="L2" s="5"/>
      <c r="M2" s="3"/>
      <c r="N2" s="5"/>
      <c r="O2" s="5"/>
      <c r="P2" s="5"/>
      <c r="Q2" s="5"/>
      <c r="R2" s="3"/>
      <c r="S2" s="3"/>
      <c r="T2" s="3"/>
      <c r="U2" s="3"/>
      <c r="V2" s="3"/>
      <c r="W2" s="3"/>
      <c r="X2" s="3"/>
      <c r="Y2" s="3"/>
      <c r="Z2" s="4"/>
      <c r="AA2" s="3"/>
      <c r="AB2" s="3"/>
      <c r="AC2" s="6"/>
      <c r="AD2" s="7"/>
    </row>
    <row r="3" spans="1:30" ht="27" customHeight="1">
      <c r="B3" s="94"/>
      <c r="C3" s="94"/>
      <c r="D3" s="8"/>
      <c r="E3" s="93"/>
      <c r="F3" s="4"/>
      <c r="G3" s="3"/>
      <c r="H3" s="3"/>
      <c r="I3" s="3"/>
      <c r="J3" s="3"/>
      <c r="K3" s="3"/>
      <c r="L3" s="5"/>
      <c r="M3" s="3"/>
      <c r="N3" s="5"/>
      <c r="O3" s="5"/>
      <c r="P3" s="5"/>
      <c r="Q3" s="5"/>
      <c r="R3" s="3"/>
      <c r="S3" s="3"/>
      <c r="T3" s="3"/>
      <c r="U3" s="3"/>
      <c r="V3" s="3"/>
      <c r="W3" s="3"/>
      <c r="X3" s="3"/>
      <c r="Y3" s="3"/>
      <c r="Z3" s="4"/>
      <c r="AA3" s="3"/>
      <c r="AB3" s="3"/>
      <c r="AC3" s="6"/>
      <c r="AD3" s="7"/>
    </row>
    <row r="4" spans="1:30" ht="24" customHeight="1">
      <c r="B4" s="94"/>
      <c r="C4" s="94"/>
      <c r="E4" s="303" t="s">
        <v>134</v>
      </c>
      <c r="F4" s="303"/>
      <c r="G4" s="303"/>
      <c r="H4" s="303"/>
      <c r="I4" s="303"/>
      <c r="J4" s="303"/>
      <c r="T4" s="3"/>
      <c r="U4" s="3"/>
      <c r="V4" s="3"/>
      <c r="W4" s="3"/>
      <c r="X4" s="3"/>
      <c r="Y4" s="3"/>
      <c r="Z4" s="4"/>
      <c r="AA4" s="3"/>
      <c r="AB4" s="3"/>
      <c r="AC4" s="6"/>
      <c r="AD4" s="7"/>
    </row>
    <row r="5" spans="1:30" ht="35.1" customHeight="1">
      <c r="A5" s="96"/>
      <c r="H5" s="97"/>
      <c r="I5" s="95"/>
      <c r="J5" s="95"/>
      <c r="K5" s="95"/>
      <c r="L5" s="95"/>
      <c r="M5" s="95"/>
      <c r="N5" s="98" t="s">
        <v>56</v>
      </c>
      <c r="O5" s="99"/>
      <c r="P5" s="100" t="s">
        <v>57</v>
      </c>
      <c r="Q5" s="101"/>
      <c r="Z5" s="97"/>
      <c r="AA5" s="6"/>
      <c r="AC5" s="6"/>
      <c r="AD5" s="7"/>
    </row>
    <row r="6" spans="1:30" ht="35.1" customHeight="1">
      <c r="A6" s="125" t="s">
        <v>18</v>
      </c>
      <c r="B6" s="164" t="str">
        <f>IF('Proj Info'!B4="","",'Proj Info'!B4)</f>
        <v/>
      </c>
      <c r="C6" s="165"/>
      <c r="D6" s="165"/>
      <c r="E6" s="126"/>
      <c r="F6" s="125" t="s">
        <v>19</v>
      </c>
      <c r="G6" s="164" t="str">
        <f>IF('Proj Info'!B11="","",('Proj Info'!B11))</f>
        <v/>
      </c>
      <c r="H6" s="165"/>
      <c r="I6" s="127"/>
      <c r="J6" s="126"/>
      <c r="K6" s="125" t="s">
        <v>20</v>
      </c>
      <c r="L6" s="167" t="str">
        <f>IF('Proj Info'!B1="","",('Proj Info'!B1))</f>
        <v/>
      </c>
      <c r="M6" s="127"/>
      <c r="N6" s="104" t="s">
        <v>25</v>
      </c>
      <c r="O6" s="105" t="str">
        <f>IF('Proj Info'!$B$14=" "," ",'Proj Info'!$B$14)</f>
        <v xml:space="preserve"> </v>
      </c>
      <c r="P6" s="106" t="s">
        <v>26</v>
      </c>
      <c r="Q6" s="104" t="str">
        <f>IF('Proj Info'!$B$16=" "," ",'Proj Info'!$B$16)</f>
        <v xml:space="preserve"> </v>
      </c>
      <c r="Z6" s="97"/>
      <c r="AA6" s="8"/>
      <c r="AC6" s="6"/>
      <c r="AD6" s="7"/>
    </row>
    <row r="7" spans="1:30" ht="35.1" customHeight="1">
      <c r="B7" s="164" t="str">
        <f>IF('Proj Info'!B5="","",'Proj Info'!B5)</f>
        <v/>
      </c>
      <c r="C7" s="169"/>
      <c r="D7" s="169"/>
      <c r="E7" s="126"/>
      <c r="F7" s="125" t="s">
        <v>22</v>
      </c>
      <c r="G7" s="164" t="str">
        <f>IF('Proj Info'!B12="","",('Proj Info'!B12))</f>
        <v/>
      </c>
      <c r="H7" s="164"/>
      <c r="I7" s="127"/>
      <c r="J7" s="126"/>
      <c r="K7" s="125" t="s">
        <v>23</v>
      </c>
      <c r="L7" s="168" t="str">
        <f>IF('Proj Info'!B2="","",('Proj Info'!B2))</f>
        <v/>
      </c>
      <c r="M7" s="127"/>
      <c r="N7" s="107" t="s">
        <v>52</v>
      </c>
      <c r="O7" s="105" t="str">
        <f>IF('Proj Info'!$B$15=" "," ",'Proj Info'!$B$15)</f>
        <v xml:space="preserve"> </v>
      </c>
      <c r="P7" s="108" t="s">
        <v>53</v>
      </c>
      <c r="Q7" s="104" t="str">
        <f>IF('Proj Info'!$B$17=" "," ",'Proj Info'!$B$17)</f>
        <v xml:space="preserve"> </v>
      </c>
      <c r="Z7" s="97"/>
      <c r="AA7" s="8"/>
      <c r="AC7" s="6"/>
      <c r="AD7" s="7"/>
    </row>
    <row r="8" spans="1:30" ht="35.1" customHeight="1">
      <c r="B8" s="164" t="str">
        <f>IF('Proj Info'!B6="","",'Proj Info'!B6)</f>
        <v/>
      </c>
      <c r="C8" s="169"/>
      <c r="D8" s="169"/>
      <c r="E8" s="127"/>
      <c r="F8" s="200" t="s">
        <v>143</v>
      </c>
      <c r="G8" s="164" t="str">
        <f>IF('Proj Info'!B8="","",('Proj Info'!B8))</f>
        <v/>
      </c>
      <c r="H8" s="166"/>
      <c r="I8" s="127"/>
      <c r="J8" s="126"/>
      <c r="K8" s="125" t="s">
        <v>24</v>
      </c>
      <c r="L8" s="168" t="str">
        <f>IF('Proj Info'!B3="","",('Proj Info'!B3))</f>
        <v/>
      </c>
      <c r="M8" s="127"/>
      <c r="N8" s="97"/>
      <c r="O8" s="97"/>
      <c r="P8" s="109" t="s">
        <v>54</v>
      </c>
      <c r="Q8" s="104" t="str">
        <f>IF('Proj Info'!$B$18=" "," ",'Proj Info'!$B$18)</f>
        <v xml:space="preserve"> </v>
      </c>
      <c r="Z8" s="97"/>
      <c r="AA8" s="8"/>
      <c r="AC8" s="6"/>
      <c r="AD8" s="7"/>
    </row>
    <row r="9" spans="1:30" ht="35.1" customHeight="1">
      <c r="B9" s="164" t="str">
        <f>IF('Proj Info'!B7="","",'Proj Info'!B7)</f>
        <v/>
      </c>
      <c r="C9" s="169"/>
      <c r="D9" s="169"/>
      <c r="E9" s="127"/>
      <c r="F9" s="127"/>
      <c r="G9" s="127"/>
      <c r="H9" s="128"/>
      <c r="I9" s="127"/>
      <c r="J9" s="127"/>
      <c r="K9" s="125" t="s">
        <v>93</v>
      </c>
      <c r="L9" s="307" t="str">
        <f>IF('Proj Info'!B13="","",('Proj Info'!B13))</f>
        <v/>
      </c>
      <c r="M9" s="308"/>
      <c r="N9" s="175"/>
      <c r="O9" s="103"/>
      <c r="P9" s="108" t="s">
        <v>55</v>
      </c>
      <c r="Q9" s="104" t="str">
        <f>IF('Proj Info'!$B$19=" "," ",'Proj Info'!$B$19)</f>
        <v xml:space="preserve"> </v>
      </c>
      <c r="Z9" s="97"/>
      <c r="AA9" s="8"/>
      <c r="AC9" s="6"/>
      <c r="AD9" s="7"/>
    </row>
    <row r="10" spans="1:30" ht="35.1" customHeight="1">
      <c r="A10" s="125" t="s">
        <v>92</v>
      </c>
      <c r="B10" s="164" t="str">
        <f>IF('Proj Info'!B10="","",('Proj Info'!B10))</f>
        <v/>
      </c>
      <c r="C10" s="165"/>
      <c r="D10" s="165"/>
      <c r="E10"/>
      <c r="F10" s="125" t="s">
        <v>21</v>
      </c>
      <c r="G10" s="164" t="str">
        <f>IF('Proj Info'!B9="","",('Proj Info'!B9))</f>
        <v/>
      </c>
      <c r="H10" s="165"/>
      <c r="I10" s="165"/>
      <c r="J10" s="103"/>
      <c r="K10" s="102"/>
      <c r="L10" s="110"/>
      <c r="M10" s="96"/>
      <c r="N10" s="97"/>
      <c r="O10" s="103"/>
      <c r="P10" s="102"/>
      <c r="Q10" s="95"/>
      <c r="R10" s="95"/>
      <c r="S10" s="95"/>
      <c r="T10" s="95"/>
      <c r="U10" s="103"/>
      <c r="V10" s="103"/>
      <c r="W10" s="103"/>
      <c r="X10" s="111"/>
      <c r="Y10" s="299"/>
      <c r="Z10" s="299"/>
      <c r="AA10" s="8"/>
      <c r="AB10" s="8"/>
      <c r="AC10" s="6"/>
      <c r="AD10" s="7"/>
    </row>
    <row r="11" spans="1:30" ht="35.1" customHeight="1">
      <c r="B11"/>
      <c r="C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 s="2" t="e">
        <f>IF(#REF!="","",#REF!)</f>
        <v>#REF!</v>
      </c>
      <c r="AB11" s="6"/>
      <c r="AC11" s="6"/>
      <c r="AD11" s="7"/>
    </row>
    <row r="12" spans="1:30" ht="35.1" customHeight="1">
      <c r="A12" s="300" t="s">
        <v>117</v>
      </c>
      <c r="B12" s="301"/>
      <c r="C12" s="301"/>
      <c r="D12" s="301"/>
      <c r="E12" s="301"/>
      <c r="F12" s="302"/>
      <c r="G12" s="160" t="s">
        <v>58</v>
      </c>
      <c r="H12" s="160" t="s">
        <v>59</v>
      </c>
      <c r="I12" s="160" t="s">
        <v>60</v>
      </c>
      <c r="J12" s="160" t="s">
        <v>61</v>
      </c>
      <c r="K12" s="160" t="s">
        <v>62</v>
      </c>
      <c r="L12" s="160" t="s">
        <v>63</v>
      </c>
      <c r="M12" s="160" t="s">
        <v>64</v>
      </c>
      <c r="N12" s="160" t="s">
        <v>17</v>
      </c>
      <c r="O12" s="137"/>
      <c r="P12" s="137"/>
      <c r="Q12" s="137"/>
      <c r="R12" s="127"/>
      <c r="S12"/>
      <c r="T12"/>
      <c r="U12"/>
      <c r="V12"/>
      <c r="W12"/>
      <c r="X12"/>
      <c r="Y12"/>
      <c r="Z12"/>
      <c r="AA12" s="2" t="e">
        <f>IF(#REF!="","",#REF!)</f>
        <v>#REF!</v>
      </c>
    </row>
    <row r="13" spans="1:30" ht="35.1" customHeight="1">
      <c r="A13" s="130"/>
      <c r="E13" s="130" t="s">
        <v>142</v>
      </c>
      <c r="F13" s="195" t="str">
        <f>IF('Proj Info'!$B$24=" "," ",'Proj Info'!$B$24)</f>
        <v xml:space="preserve"> </v>
      </c>
      <c r="G13" s="116" t="s">
        <v>99</v>
      </c>
      <c r="H13" s="116" t="s">
        <v>102</v>
      </c>
      <c r="I13" s="116" t="s">
        <v>100</v>
      </c>
      <c r="J13" s="116" t="s">
        <v>101</v>
      </c>
      <c r="K13" s="116" t="s">
        <v>103</v>
      </c>
      <c r="L13" s="116" t="s">
        <v>104</v>
      </c>
      <c r="M13" s="116" t="s">
        <v>105</v>
      </c>
      <c r="N13" s="116" t="s">
        <v>106</v>
      </c>
      <c r="O13" s="161" t="s">
        <v>50</v>
      </c>
      <c r="P13" s="126"/>
      <c r="Q13" s="127"/>
      <c r="R13" s="127"/>
      <c r="S13"/>
      <c r="T13"/>
      <c r="U13"/>
      <c r="V13"/>
      <c r="W13"/>
      <c r="X13"/>
      <c r="Y13"/>
      <c r="Z13"/>
    </row>
    <row r="14" spans="1:30" ht="35.1" customHeight="1">
      <c r="A14" s="225" t="s">
        <v>140</v>
      </c>
      <c r="B14" s="221" t="s">
        <v>230</v>
      </c>
      <c r="C14" s="136" t="s">
        <v>119</v>
      </c>
      <c r="D14" s="197" t="s">
        <v>111</v>
      </c>
      <c r="E14" s="297" t="s">
        <v>112</v>
      </c>
      <c r="F14" s="298"/>
      <c r="G14" s="136" t="str">
        <f>IF('Proj Info'!$B$33=" "," ",'Proj Info'!$B$33)</f>
        <v/>
      </c>
      <c r="H14" s="136" t="str">
        <f>IF('Proj Info'!$B$34=" "," ",'Proj Info'!$B$34)</f>
        <v/>
      </c>
      <c r="I14" s="136" t="str">
        <f>IF('Proj Info'!$B$35=" "," ",'Proj Info'!$B$35)</f>
        <v/>
      </c>
      <c r="J14" s="136" t="str">
        <f>IF('Proj Info'!$B$36=" "," ",'Proj Info'!$B$36)</f>
        <v/>
      </c>
      <c r="K14" s="136" t="str">
        <f>IF('Proj Info'!$B$37=" "," ",'Proj Info'!$B$37)</f>
        <v/>
      </c>
      <c r="L14" s="138" t="str">
        <f>IF('Proj Info'!$B$38=" "," ",'Proj Info'!$B$38)</f>
        <v/>
      </c>
      <c r="M14" s="136" t="str">
        <f>IF('Proj Info'!$B$39=" "," ",'Proj Info'!$B$39)</f>
        <v/>
      </c>
      <c r="N14" s="136" t="str">
        <f>IF('Proj Info'!$B$40=" "," ",'Proj Info'!$B$40)</f>
        <v>0-2.5</v>
      </c>
      <c r="O14" s="162" t="s">
        <v>51</v>
      </c>
      <c r="P14" s="126"/>
      <c r="Q14" s="127"/>
      <c r="R14" s="127"/>
      <c r="S14"/>
      <c r="T14"/>
      <c r="U14"/>
      <c r="V14"/>
      <c r="W14"/>
      <c r="X14"/>
      <c r="Y14"/>
      <c r="Z14"/>
    </row>
    <row r="15" spans="1:30" ht="35.1" customHeight="1">
      <c r="A15" s="223" t="str">
        <f>IF('Proj Info'!$B22="","",('Proj Info'!$B22))</f>
        <v/>
      </c>
      <c r="B15" s="195" t="str">
        <f>IF('Proj Info'!$B23="","",('Proj Info'!$B23))</f>
        <v/>
      </c>
      <c r="C15" s="170" t="str">
        <f>IF('Proj Info'!$B$8="","",IF(OR('Proj Info'!$B$8="QMC",'Proj Info'!$B$8="BR",'Proj Info'!$B$8="HPC-D"),'Mix Info'!E4))</f>
        <v/>
      </c>
      <c r="D15" s="234" t="str">
        <f>IF('Grad 1'!$B$1="","",'Grad 1'!$B$1)</f>
        <v/>
      </c>
      <c r="E15" s="294" t="str">
        <f>IF('Grad 1'!$B$3=" "," ",'Grad 1'!$B$3)</f>
        <v xml:space="preserve"> </v>
      </c>
      <c r="F15" s="295"/>
      <c r="G15" s="135" t="str">
        <f>IF('Grad 1'!$I$5=" "," ",'Grad 1'!$I$5)</f>
        <v xml:space="preserve"> </v>
      </c>
      <c r="H15" s="135" t="str">
        <f>IF('Grad 1'!$I$6=" "," ",'Grad 1'!$I$6)</f>
        <v xml:space="preserve"> </v>
      </c>
      <c r="I15" s="135" t="str">
        <f>IF('Grad 1'!$I$7=" "," ",'Grad 1'!$I$7)</f>
        <v xml:space="preserve"> </v>
      </c>
      <c r="J15" s="135" t="str">
        <f>IF('Grad 1'!$I$8=" "," ",'Grad 1'!$I$8)</f>
        <v xml:space="preserve"> </v>
      </c>
      <c r="K15" s="135" t="str">
        <f>IF('Grad 1'!$I$9=" "," ",'Grad 1'!$I$9)</f>
        <v xml:space="preserve"> </v>
      </c>
      <c r="L15" s="135" t="str">
        <f>IF('Grad 1'!$I$10=" "," ",'Grad 1'!$I$10)</f>
        <v xml:space="preserve"> </v>
      </c>
      <c r="M15" s="135" t="str">
        <f>IF('Grad 1'!$I$11=" "," ",'Grad 1'!$I$11)</f>
        <v xml:space="preserve"> </v>
      </c>
      <c r="N15" s="135" t="str">
        <f>IF('Grad 1'!$I$14=" "," ",'Grad 1'!$I$14)</f>
        <v xml:space="preserve"> </v>
      </c>
      <c r="O15" s="136" t="str">
        <f>IF('Grad 1'!$B$18=" "," ",'Grad 1'!$B$18)</f>
        <v xml:space="preserve"> </v>
      </c>
      <c r="P15" s="126"/>
      <c r="Q15" s="127"/>
      <c r="R15" s="127"/>
      <c r="S15"/>
      <c r="T15"/>
      <c r="U15"/>
      <c r="V15"/>
      <c r="W15"/>
      <c r="X15"/>
      <c r="Y15"/>
      <c r="Z15"/>
      <c r="AA15" s="6"/>
      <c r="AB15" s="6"/>
      <c r="AC15" s="6"/>
      <c r="AD15" s="7"/>
    </row>
    <row r="16" spans="1:30" ht="35.1" customHeight="1">
      <c r="A16" s="224" t="str">
        <f>IF('Mix Info'!B11="","",'Mix Info'!B11)</f>
        <v/>
      </c>
      <c r="B16" s="136" t="str">
        <f>IF('Mix Info'!C11="","",'Mix Info'!C11)</f>
        <v/>
      </c>
      <c r="C16" s="170" t="str">
        <f>IF('Proj Info'!$B$8="","",IF(OR('Proj Info'!$B$8="QMC",'Proj Info'!$B$8="BR",'Proj Info'!$B$8="HPC-D"),'Mix Info'!E11))</f>
        <v/>
      </c>
      <c r="D16" s="234" t="str">
        <f>IF('Grad 2'!$B$1="","",'Grad 2'!$B$1)</f>
        <v/>
      </c>
      <c r="E16" s="296" t="str">
        <f>IF('Grad 2'!$B$3=" "," ",'Grad 2'!$B$3)</f>
        <v xml:space="preserve"> </v>
      </c>
      <c r="F16" s="295"/>
      <c r="G16" s="135" t="str">
        <f>IF('Grad 2'!$I$5=" "," ",'Grad 2'!$I$5)</f>
        <v xml:space="preserve"> </v>
      </c>
      <c r="H16" s="135" t="str">
        <f>IF('Grad 2'!$I$6=" "," ",'Grad 2'!$I$6)</f>
        <v xml:space="preserve"> </v>
      </c>
      <c r="I16" s="135" t="str">
        <f>IF('Grad 2'!$I$7=" "," ",'Grad 2'!$I$7)</f>
        <v xml:space="preserve"> </v>
      </c>
      <c r="J16" s="135" t="str">
        <f>IF('Grad 2'!$I$8=" "," ",'Grad 2'!$I$8)</f>
        <v xml:space="preserve"> </v>
      </c>
      <c r="K16" s="135" t="str">
        <f>IF('Grad 2'!$I$9=" "," ",'Grad 2'!$I$9)</f>
        <v xml:space="preserve"> </v>
      </c>
      <c r="L16" s="135" t="str">
        <f>IF('Grad 2'!$I$10=" "," ",'Grad 2'!$I$10)</f>
        <v xml:space="preserve"> </v>
      </c>
      <c r="M16" s="135" t="str">
        <f>IF('Grad 2'!$I$11=" "," ",'Grad 2'!$I$11)</f>
        <v xml:space="preserve"> </v>
      </c>
      <c r="N16" s="135" t="str">
        <f>IF('Grad 2'!$I$14=" "," ",'Grad 2'!$I$14)</f>
        <v xml:space="preserve"> </v>
      </c>
      <c r="O16" s="136" t="str">
        <f>IF('Grad 2'!$B$18=" "," ",'Grad 2'!$B$18)</f>
        <v xml:space="preserve"> </v>
      </c>
      <c r="P16" s="126"/>
      <c r="Q16" s="127"/>
      <c r="R16" s="127"/>
      <c r="S16"/>
      <c r="T16"/>
      <c r="U16"/>
      <c r="V16"/>
      <c r="W16"/>
      <c r="X16"/>
      <c r="Y16"/>
      <c r="Z16"/>
      <c r="AA16" s="6"/>
      <c r="AB16" s="6"/>
      <c r="AC16" s="7"/>
      <c r="AD16" s="7"/>
    </row>
    <row r="17" spans="1:30" ht="35.1" customHeight="1">
      <c r="A17" s="224" t="str">
        <f>IF('Mix Info'!B18="","",'Mix Info'!B18)</f>
        <v/>
      </c>
      <c r="B17" s="136" t="str">
        <f>IF('Mix Info'!C18="","",'Mix Info'!C18)</f>
        <v/>
      </c>
      <c r="C17" s="170" t="str">
        <f>IF('Proj Info'!$B$8="","",IF(OR('Proj Info'!$B$8="QMC",'Proj Info'!$B$8="BR",'Proj Info'!$B$8="HPC-D"),'Mix Info'!E18))</f>
        <v/>
      </c>
      <c r="D17" s="234" t="str">
        <f>IF('Grad 3'!$B$1="","",'Grad 3'!$B$1)</f>
        <v/>
      </c>
      <c r="E17" s="296" t="str">
        <f>IF('Grad 3'!$B$3=" "," ",'Grad 3'!$B$3)</f>
        <v xml:space="preserve"> </v>
      </c>
      <c r="F17" s="295"/>
      <c r="G17" s="135" t="str">
        <f>IF('Grad 3'!$I$5=" "," ",'Grad 3'!$I$5)</f>
        <v xml:space="preserve"> </v>
      </c>
      <c r="H17" s="135" t="str">
        <f>IF('Grad 3'!$I$6=" "," ",'Grad 3'!$I$6)</f>
        <v xml:space="preserve"> </v>
      </c>
      <c r="I17" s="135" t="str">
        <f>IF('Grad 3'!$I$7=" "," ",'Grad 3'!$I$7)</f>
        <v xml:space="preserve"> </v>
      </c>
      <c r="J17" s="135" t="str">
        <f>IF('Grad 3'!$I$8=" "," ",'Grad 3'!$I$8)</f>
        <v xml:space="preserve"> </v>
      </c>
      <c r="K17" s="135" t="str">
        <f>IF('Grad 3'!$I$9=" "," ",'Grad 3'!$I$9)</f>
        <v xml:space="preserve"> </v>
      </c>
      <c r="L17" s="135" t="str">
        <f>IF('Grad 3'!$I$10=" "," ",'Grad 3'!$I$10)</f>
        <v xml:space="preserve"> </v>
      </c>
      <c r="M17" s="135" t="str">
        <f>IF('Grad 3'!$I$11=" "," ",'Grad 3'!$I$11)</f>
        <v xml:space="preserve"> </v>
      </c>
      <c r="N17" s="135" t="str">
        <f>IF('Grad 3'!$I$14=" "," ",'Grad 3'!$I$14)</f>
        <v xml:space="preserve"> </v>
      </c>
      <c r="O17" s="136" t="str">
        <f>IF('Grad 3'!$B$18=" "," ",'Grad 3'!$B$18)</f>
        <v xml:space="preserve"> </v>
      </c>
      <c r="P17" s="126"/>
      <c r="Q17" s="127"/>
      <c r="R17" s="127"/>
      <c r="S17"/>
      <c r="T17"/>
      <c r="U17"/>
      <c r="V17"/>
      <c r="W17"/>
      <c r="X17"/>
      <c r="Y17"/>
      <c r="Z17"/>
      <c r="AA17" s="6"/>
      <c r="AB17" s="6"/>
      <c r="AC17" s="6"/>
      <c r="AD17" s="7"/>
    </row>
    <row r="18" spans="1:30" ht="35.1" customHeight="1">
      <c r="A18" s="224" t="str">
        <f>IF('Mix Info'!B25="","",'Mix Info'!B25)</f>
        <v/>
      </c>
      <c r="B18" s="136" t="str">
        <f>IF('Mix Info'!C25="","",'Mix Info'!C25)</f>
        <v/>
      </c>
      <c r="C18" s="170" t="str">
        <f>IF('Proj Info'!$B$8="","",IF(OR('Proj Info'!$B$8="QMC",'Proj Info'!$B$8="BR",'Proj Info'!$B$8="HPC-D"),'Mix Info'!E25))</f>
        <v/>
      </c>
      <c r="D18" s="234" t="str">
        <f>IF('Grad 4'!$B$1="","",'Grad 4'!$B$1)</f>
        <v/>
      </c>
      <c r="E18" s="296" t="str">
        <f>IF('Grad 4'!$B$3=" "," ",'Grad 4'!$B$3)</f>
        <v xml:space="preserve"> </v>
      </c>
      <c r="F18" s="295"/>
      <c r="G18" s="135" t="str">
        <f>IF('Grad 4'!$I$5=" "," ",'Grad 4'!$I$5)</f>
        <v xml:space="preserve"> </v>
      </c>
      <c r="H18" s="135" t="str">
        <f>IF('Grad 4'!$I$6=" "," ",'Grad 4'!$I$6)</f>
        <v xml:space="preserve"> </v>
      </c>
      <c r="I18" s="135" t="str">
        <f>IF('Grad 4'!$I$7=" "," ",'Grad 4'!$I$7)</f>
        <v xml:space="preserve"> </v>
      </c>
      <c r="J18" s="135" t="str">
        <f>IF('Grad 4'!$I$8=" "," ",'Grad 4'!$I$8)</f>
        <v xml:space="preserve"> </v>
      </c>
      <c r="K18" s="135" t="str">
        <f>IF('Grad 4'!$I$9=" "," ",'Grad 4'!$I$9)</f>
        <v xml:space="preserve"> </v>
      </c>
      <c r="L18" s="135" t="str">
        <f>IF('Grad 4'!$I$10=" "," ",'Grad 4'!$I$10)</f>
        <v xml:space="preserve"> </v>
      </c>
      <c r="M18" s="135" t="str">
        <f>IF('Grad 4'!$I$11=" "," ",'Grad 4'!$I$11)</f>
        <v xml:space="preserve"> </v>
      </c>
      <c r="N18" s="135" t="str">
        <f>IF('Grad 4'!$I$14=" "," ",'Grad 4'!$I$14)</f>
        <v xml:space="preserve"> </v>
      </c>
      <c r="O18" s="136" t="str">
        <f>IF('Grad 4'!$B$18=" "," ",'Grad 4'!$B$18)</f>
        <v xml:space="preserve"> </v>
      </c>
      <c r="P18" s="126"/>
      <c r="Q18" s="127"/>
      <c r="R18" s="127"/>
      <c r="S18"/>
      <c r="T18"/>
      <c r="U18"/>
      <c r="V18"/>
      <c r="W18"/>
      <c r="X18"/>
      <c r="Y18"/>
      <c r="Z18"/>
      <c r="AA18" s="6"/>
      <c r="AB18" s="6"/>
      <c r="AC18" s="6"/>
      <c r="AD18" s="7"/>
    </row>
    <row r="19" spans="1:30" ht="35.1" customHeight="1">
      <c r="A19" s="224" t="str">
        <f>IF('Mix Info'!B32="","",'Mix Info'!B32)</f>
        <v/>
      </c>
      <c r="B19" s="136" t="str">
        <f>IF('Mix Info'!C32="","",'Mix Info'!C32)</f>
        <v/>
      </c>
      <c r="C19" s="170" t="str">
        <f>IF('Proj Info'!$B$8="","",IF(OR('Proj Info'!$B$8="QMC",'Proj Info'!$B$8="BR",'Proj Info'!$B$8="HPC-D"),'Mix Info'!E32))</f>
        <v/>
      </c>
      <c r="D19" s="234" t="str">
        <f>IF('Grad 5'!$B$1="","",'Grad 5'!$B$1)</f>
        <v/>
      </c>
      <c r="E19" s="296" t="str">
        <f>IF('Grad 5'!$B$3=" "," ",'Grad 5'!$B$3)</f>
        <v xml:space="preserve"> </v>
      </c>
      <c r="F19" s="295"/>
      <c r="G19" s="135" t="str">
        <f>IF('Grad 5'!$I$5=" "," ",'Grad 5'!$I$5)</f>
        <v xml:space="preserve"> </v>
      </c>
      <c r="H19" s="135" t="str">
        <f>IF('Grad 5'!$I$6=" "," ",'Grad 5'!$I$6)</f>
        <v xml:space="preserve"> </v>
      </c>
      <c r="I19" s="135" t="str">
        <f>IF('Grad 5'!$I$7=" "," ",'Grad 5'!$I$7)</f>
        <v xml:space="preserve"> </v>
      </c>
      <c r="J19" s="135" t="str">
        <f>IF('Grad 5'!$I$8=" "," ",'Grad 5'!$I$8)</f>
        <v xml:space="preserve"> </v>
      </c>
      <c r="K19" s="135" t="str">
        <f>IF('Grad 5'!$I$9=" "," ",'Grad 5'!$I$9)</f>
        <v xml:space="preserve"> </v>
      </c>
      <c r="L19" s="135" t="str">
        <f>IF('Grad 5'!$I$10=" "," ",'Grad 5'!$I$10)</f>
        <v xml:space="preserve"> </v>
      </c>
      <c r="M19" s="135" t="str">
        <f>IF('Grad 5'!$I$11=" "," ",'Grad 5'!$I$11)</f>
        <v xml:space="preserve"> </v>
      </c>
      <c r="N19" s="135" t="str">
        <f>IF('Grad 5'!$I$14=" "," ",'Grad 5'!$I$14)</f>
        <v xml:space="preserve"> </v>
      </c>
      <c r="O19" s="136" t="str">
        <f>IF('Grad 5'!$B$18=" "," ",'Grad 5'!$B$18)</f>
        <v xml:space="preserve"> </v>
      </c>
      <c r="P19" s="126"/>
      <c r="Q19" s="127"/>
      <c r="R19" s="127"/>
      <c r="S19"/>
      <c r="T19"/>
      <c r="U19"/>
      <c r="V19"/>
      <c r="W19"/>
      <c r="X19"/>
      <c r="Y19"/>
      <c r="Z19"/>
      <c r="AA19" s="6"/>
      <c r="AB19" s="6"/>
      <c r="AC19" s="6"/>
      <c r="AD19" s="7"/>
    </row>
    <row r="20" spans="1:30" ht="35.1" customHeight="1">
      <c r="B20" s="127"/>
      <c r="C20" s="127"/>
      <c r="D20" s="141"/>
      <c r="E20" s="141"/>
      <c r="F20" s="142"/>
      <c r="G20" s="143"/>
      <c r="H20" s="143"/>
      <c r="I20" s="143"/>
      <c r="J20" s="143"/>
      <c r="K20" s="143"/>
      <c r="L20" s="143"/>
      <c r="M20" s="143"/>
      <c r="N20" s="143"/>
      <c r="O20" s="140"/>
      <c r="P20" s="126"/>
      <c r="Q20" s="127"/>
      <c r="R20" s="127"/>
      <c r="S20"/>
      <c r="T20"/>
      <c r="U20"/>
      <c r="V20"/>
      <c r="W20"/>
      <c r="X20"/>
      <c r="Y20"/>
      <c r="Z20"/>
      <c r="AA20" s="6"/>
      <c r="AB20" s="6"/>
      <c r="AC20" s="6"/>
      <c r="AD20" s="7"/>
    </row>
    <row r="21" spans="1:30" customFormat="1" ht="35.1" customHeight="1"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</row>
    <row r="22" spans="1:30" ht="35.1" customHeight="1">
      <c r="A22" s="306" t="s">
        <v>116</v>
      </c>
      <c r="B22" s="305"/>
      <c r="C22" s="305"/>
      <c r="D22" s="305"/>
      <c r="E22" s="305"/>
      <c r="F22" s="295"/>
      <c r="G22" s="160" t="s">
        <v>58</v>
      </c>
      <c r="H22" s="160" t="s">
        <v>59</v>
      </c>
      <c r="I22" s="160" t="s">
        <v>60</v>
      </c>
      <c r="J22" s="160" t="s">
        <v>61</v>
      </c>
      <c r="K22" s="160" t="s">
        <v>62</v>
      </c>
      <c r="L22" s="160" t="s">
        <v>63</v>
      </c>
      <c r="M22" s="160" t="s">
        <v>64</v>
      </c>
      <c r="N22" s="160" t="s">
        <v>17</v>
      </c>
      <c r="O22" s="129"/>
      <c r="P22" s="126"/>
      <c r="Q22" s="127"/>
      <c r="R22" s="127"/>
      <c r="S22"/>
      <c r="T22"/>
      <c r="U22"/>
      <c r="V22"/>
      <c r="W22"/>
      <c r="X22"/>
      <c r="Y22"/>
      <c r="Z22"/>
      <c r="AA22" s="6"/>
      <c r="AB22" s="6"/>
      <c r="AC22" s="6"/>
      <c r="AD22" s="7"/>
    </row>
    <row r="23" spans="1:30" ht="35.1" customHeight="1">
      <c r="A23" s="130"/>
      <c r="C23" s="226"/>
      <c r="D23" s="169"/>
      <c r="G23" s="116" t="s">
        <v>99</v>
      </c>
      <c r="H23" s="116" t="s">
        <v>102</v>
      </c>
      <c r="I23" s="116" t="s">
        <v>100</v>
      </c>
      <c r="J23" s="116" t="s">
        <v>101</v>
      </c>
      <c r="K23" s="116" t="s">
        <v>103</v>
      </c>
      <c r="L23" s="116" t="s">
        <v>104</v>
      </c>
      <c r="M23" s="116" t="s">
        <v>105</v>
      </c>
      <c r="N23" s="116" t="s">
        <v>106</v>
      </c>
      <c r="O23" s="161" t="s">
        <v>50</v>
      </c>
      <c r="P23" s="126"/>
      <c r="Q23" s="127"/>
      <c r="R23" s="127"/>
      <c r="S23"/>
      <c r="T23"/>
      <c r="U23"/>
      <c r="V23"/>
      <c r="W23"/>
      <c r="X23"/>
      <c r="Y23"/>
      <c r="Z23"/>
      <c r="AA23" s="6"/>
      <c r="AB23" s="6"/>
      <c r="AC23" s="6"/>
      <c r="AD23" s="7"/>
    </row>
    <row r="24" spans="1:30" ht="35.1" customHeight="1">
      <c r="A24" s="224" t="s">
        <v>140</v>
      </c>
      <c r="B24" s="222" t="s">
        <v>141</v>
      </c>
      <c r="C24" s="196" t="s">
        <v>119</v>
      </c>
      <c r="D24" s="197" t="s">
        <v>111</v>
      </c>
      <c r="E24" s="297" t="s">
        <v>112</v>
      </c>
      <c r="F24" s="298"/>
      <c r="G24" s="171"/>
      <c r="H24" s="171"/>
      <c r="I24" s="136" t="str">
        <f>IF('Proj Info'!$B$41=" "," ",'Proj Info'!$B$41)</f>
        <v/>
      </c>
      <c r="J24" s="136" t="str">
        <f>IF('Proj Info'!$B$42=" "," ",'Proj Info'!$B$42)</f>
        <v/>
      </c>
      <c r="K24" s="136" t="str">
        <f>IF('Proj Info'!$B$43=" "," ",'Proj Info'!$B$43)</f>
        <v/>
      </c>
      <c r="L24" s="136" t="str">
        <f>IF('Proj Info'!$B$44=" "," ",'Proj Info'!$B$44)</f>
        <v/>
      </c>
      <c r="M24" s="136" t="str">
        <f>IF('Proj Info'!$B$45=" "," ",'Proj Info'!$B$45)</f>
        <v/>
      </c>
      <c r="N24" s="136" t="str">
        <f>IF('Proj Info'!$B$46=" "," ",'Proj Info'!$B$46)</f>
        <v/>
      </c>
      <c r="O24" s="162" t="s">
        <v>51</v>
      </c>
      <c r="P24" s="126"/>
      <c r="Q24" s="127"/>
      <c r="R24" s="127"/>
      <c r="S24"/>
      <c r="T24"/>
      <c r="U24"/>
      <c r="V24"/>
      <c r="W24"/>
      <c r="X24"/>
      <c r="Y24"/>
      <c r="Z24"/>
      <c r="AA24" s="6"/>
      <c r="AB24" s="6"/>
      <c r="AC24" s="6"/>
      <c r="AD24" s="7"/>
    </row>
    <row r="25" spans="1:30" ht="35.1" customHeight="1">
      <c r="A25" s="223" t="str">
        <f>IF('Proj Info'!$B25="","",('Proj Info'!$B25))</f>
        <v/>
      </c>
      <c r="B25" s="195" t="str">
        <f>IF('Proj Info'!$B26="","",('Proj Info'!$B26))</f>
        <v/>
      </c>
      <c r="C25" s="170" t="str">
        <f>IF('Proj Info'!$B$8="","",IF(OR('Proj Info'!$B$8="QMC",'Proj Info'!$B$8="BR",'Proj Info'!$B$8="HPC-D"),'Mix Info'!E5))</f>
        <v/>
      </c>
      <c r="D25" s="234" t="str">
        <f>IF('Grad 1'!$B$1="","",'Grad 1'!$B$1)</f>
        <v/>
      </c>
      <c r="E25" s="296" t="str">
        <f>IF('Grad 1'!$B$20=" "," ",'Grad 1'!$B$20)</f>
        <v xml:space="preserve"> </v>
      </c>
      <c r="F25" s="295"/>
      <c r="G25" s="135" t="str">
        <f>IF('Grad 1'!$I$22=" "," ",'Grad 1'!$I$22)</f>
        <v xml:space="preserve"> </v>
      </c>
      <c r="H25" s="135" t="str">
        <f>IF('Grad 1'!$I$23=" "," ",'Grad 1'!$I$23)</f>
        <v xml:space="preserve"> </v>
      </c>
      <c r="I25" s="135" t="str">
        <f>IF('Grad 1'!$I$24=" "," ",'Grad 1'!$I$24)</f>
        <v xml:space="preserve"> </v>
      </c>
      <c r="J25" s="135" t="str">
        <f>IF('Grad 1'!$I$25=" "," ",'Grad 1'!$I$25)</f>
        <v xml:space="preserve"> </v>
      </c>
      <c r="K25" s="135" t="str">
        <f>IF('Grad 1'!$I$26=" "," ",'Grad 1'!$I$26)</f>
        <v xml:space="preserve"> </v>
      </c>
      <c r="L25" s="135" t="str">
        <f>IF('Grad 1'!$I$27=" "," ",'Grad 1'!$I$27)</f>
        <v xml:space="preserve"> </v>
      </c>
      <c r="M25" s="135" t="str">
        <f>IF('Grad 1'!$I$28=" "," ",'Grad 1'!$I$28)</f>
        <v xml:space="preserve"> </v>
      </c>
      <c r="N25" s="135" t="str">
        <f>IF('Grad 1'!$I$31=" "," ",'Grad 1'!$I$31)</f>
        <v xml:space="preserve"> </v>
      </c>
      <c r="O25" s="136" t="str">
        <f>IF('Grad 1'!$B$35=" "," ",'Grad 1'!$B$35)</f>
        <v xml:space="preserve"> </v>
      </c>
      <c r="P25" s="126"/>
      <c r="Q25" s="127"/>
      <c r="R25" s="127"/>
      <c r="S25"/>
      <c r="T25"/>
      <c r="U25"/>
      <c r="V25"/>
      <c r="W25"/>
      <c r="X25"/>
      <c r="Y25"/>
      <c r="Z25"/>
      <c r="AA25" s="6"/>
      <c r="AB25" s="6"/>
      <c r="AC25" s="6"/>
      <c r="AD25" s="7"/>
    </row>
    <row r="26" spans="1:30" ht="35.1" customHeight="1">
      <c r="A26" s="224" t="str">
        <f>IF('Mix Info'!B12="","",'Mix Info'!B12)</f>
        <v/>
      </c>
      <c r="B26" s="136" t="str">
        <f>IF('Mix Info'!C12="","",'Mix Info'!C12)</f>
        <v/>
      </c>
      <c r="C26" s="170" t="str">
        <f>IF('Proj Info'!$B$8="","",IF(OR('Proj Info'!$B$8="QMC",'Proj Info'!$B$8="BR",'Proj Info'!$B$8="HPC-D"),'Mix Info'!E12))</f>
        <v/>
      </c>
      <c r="D26" s="234" t="str">
        <f>IF('Grad 2'!$B$1="","",'Grad 2'!$B$1)</f>
        <v/>
      </c>
      <c r="E26" s="296" t="str">
        <f>IF('Grad 2'!$B$20=" "," ",'Grad 2'!$B$20)</f>
        <v xml:space="preserve"> </v>
      </c>
      <c r="F26" s="295"/>
      <c r="G26" s="135" t="str">
        <f>IF('Grad 2'!$I$22=" "," ",'Grad 2'!$I$22)</f>
        <v xml:space="preserve"> </v>
      </c>
      <c r="H26" s="135" t="str">
        <f>IF('Grad 2'!$I$23=" "," ",'Grad 2'!$I$23)</f>
        <v xml:space="preserve"> </v>
      </c>
      <c r="I26" s="135" t="str">
        <f>IF('Grad 2'!$I$24=" "," ",'Grad 2'!$I$24)</f>
        <v xml:space="preserve"> </v>
      </c>
      <c r="J26" s="135" t="str">
        <f>IF('Grad 2'!$I$25=" "," ",'Grad 2'!$I$25)</f>
        <v xml:space="preserve"> </v>
      </c>
      <c r="K26" s="135" t="str">
        <f>IF('Grad 2'!$I$26=" "," ",'Grad 2'!$I$26)</f>
        <v xml:space="preserve"> </v>
      </c>
      <c r="L26" s="135" t="str">
        <f>IF('Grad 2'!$I$27=" "," ",'Grad 2'!$I$27)</f>
        <v xml:space="preserve"> </v>
      </c>
      <c r="M26" s="135" t="str">
        <f>IF('Grad 2'!$I$28=" "," ",'Grad 2'!$I$28)</f>
        <v xml:space="preserve"> </v>
      </c>
      <c r="N26" s="135" t="str">
        <f>IF('Grad 2'!$I$31=" "," ",'Grad 2'!$I$31)</f>
        <v xml:space="preserve"> </v>
      </c>
      <c r="O26" s="136" t="str">
        <f>IF('Grad 2'!$B$35=" "," ",'Grad 2'!$B$35)</f>
        <v xml:space="preserve"> </v>
      </c>
      <c r="P26" s="144"/>
      <c r="Q26" s="127"/>
      <c r="R26" s="127"/>
      <c r="S26"/>
      <c r="T26"/>
      <c r="U26"/>
      <c r="V26"/>
      <c r="W26"/>
      <c r="X26"/>
      <c r="Y26"/>
      <c r="Z26"/>
      <c r="AA26" s="6"/>
      <c r="AB26" s="6"/>
      <c r="AC26" s="6"/>
      <c r="AD26" s="7"/>
    </row>
    <row r="27" spans="1:30" ht="35.1" customHeight="1">
      <c r="A27" s="224" t="str">
        <f>IF('Mix Info'!B19="","",'Mix Info'!B19)</f>
        <v/>
      </c>
      <c r="B27" s="136" t="str">
        <f>IF('Mix Info'!C19="","",'Mix Info'!C19)</f>
        <v/>
      </c>
      <c r="C27" s="170" t="str">
        <f>IF('Proj Info'!$B$8="","",IF(OR('Proj Info'!$B$8="QMC",'Proj Info'!$B$8="BR",'Proj Info'!$B$8="HPC-D"),'Mix Info'!E19))</f>
        <v/>
      </c>
      <c r="D27" s="234" t="str">
        <f>IF('Grad 3'!$B$1="","",'Grad 3'!$B$1)</f>
        <v/>
      </c>
      <c r="E27" s="296" t="str">
        <f>IF('Grad 3'!$B$20=" "," ",'Grad 3'!$B$20)</f>
        <v xml:space="preserve"> </v>
      </c>
      <c r="F27" s="295"/>
      <c r="G27" s="135" t="str">
        <f>IF('Grad 3'!$I$22=" "," ",'Grad 3'!$I$22)</f>
        <v xml:space="preserve"> </v>
      </c>
      <c r="H27" s="135" t="str">
        <f>IF('Grad 3'!$I$23=" "," ",'Grad 3'!$I$23)</f>
        <v xml:space="preserve"> </v>
      </c>
      <c r="I27" s="135" t="str">
        <f>IF('Grad 3'!$I$24=" "," ",'Grad 3'!$I$24)</f>
        <v xml:space="preserve"> </v>
      </c>
      <c r="J27" s="135" t="str">
        <f>IF('Grad 3'!$I$25=" "," ",'Grad 3'!$I$25)</f>
        <v xml:space="preserve"> </v>
      </c>
      <c r="K27" s="135" t="str">
        <f>IF('Grad 3'!$I$26=" "," ",'Grad 3'!$I$26)</f>
        <v xml:space="preserve"> </v>
      </c>
      <c r="L27" s="135" t="str">
        <f>IF('Grad 3'!$I$27=" "," ",'Grad 3'!$I$27)</f>
        <v xml:space="preserve"> </v>
      </c>
      <c r="M27" s="135" t="str">
        <f>IF('Grad 3'!$I$28=" "," ",'Grad 3'!$I$28)</f>
        <v xml:space="preserve"> </v>
      </c>
      <c r="N27" s="135" t="str">
        <f>IF('Grad 3'!$I$31=" "," ",'Grad 3'!$I$31)</f>
        <v xml:space="preserve"> </v>
      </c>
      <c r="O27" s="136" t="str">
        <f>IF('Grad 3'!$B$35=" "," ",'Grad 3'!$B$35)</f>
        <v xml:space="preserve"> </v>
      </c>
      <c r="P27" s="144"/>
      <c r="Q27" s="127"/>
      <c r="R27" s="127"/>
      <c r="S27"/>
      <c r="T27"/>
      <c r="U27"/>
      <c r="V27"/>
      <c r="W27"/>
      <c r="X27"/>
      <c r="Y27"/>
      <c r="Z27"/>
      <c r="AB27" s="6"/>
      <c r="AC27" s="6"/>
      <c r="AD27" s="7"/>
    </row>
    <row r="28" spans="1:30" ht="35.1" customHeight="1">
      <c r="A28" s="224" t="str">
        <f>IF('Mix Info'!B26="","",'Mix Info'!B26)</f>
        <v/>
      </c>
      <c r="B28" s="136" t="str">
        <f>IF('Mix Info'!C26="","",'Mix Info'!C26)</f>
        <v/>
      </c>
      <c r="C28" s="170" t="str">
        <f>IF('Proj Info'!$B$8="","",IF(OR('Proj Info'!$B$8="QMC",'Proj Info'!$B$8="BR",'Proj Info'!$B$8="HPC-D"),'Mix Info'!E26))</f>
        <v/>
      </c>
      <c r="D28" s="234" t="str">
        <f>IF('Grad 4'!$B$1="","",'Grad 4'!$B$1)</f>
        <v/>
      </c>
      <c r="E28" s="296" t="str">
        <f>IF('Grad 4'!$B$20=" "," ",'Grad 4'!$B$20)</f>
        <v xml:space="preserve"> </v>
      </c>
      <c r="F28" s="295"/>
      <c r="G28" s="135" t="str">
        <f>IF('Grad 4'!$I$22=" "," ",'Grad 4'!$I$22)</f>
        <v xml:space="preserve"> </v>
      </c>
      <c r="H28" s="135" t="str">
        <f>IF('Grad 4'!$I$23=" "," ",'Grad 4'!$I$23)</f>
        <v xml:space="preserve"> </v>
      </c>
      <c r="I28" s="135" t="str">
        <f>IF('Grad 4'!$I$24=" "," ",'Grad 4'!$I$24)</f>
        <v xml:space="preserve"> </v>
      </c>
      <c r="J28" s="135" t="str">
        <f>IF('Grad 4'!$I$25=" "," ",'Grad 4'!$I$25)</f>
        <v xml:space="preserve"> </v>
      </c>
      <c r="K28" s="135" t="str">
        <f>IF('Grad 4'!$I$26=" "," ",'Grad 4'!$I$26)</f>
        <v xml:space="preserve"> </v>
      </c>
      <c r="L28" s="135" t="str">
        <f>IF('Grad 4'!$I$27=" "," ",'Grad 4'!$I$27)</f>
        <v xml:space="preserve"> </v>
      </c>
      <c r="M28" s="135" t="str">
        <f>IF('Grad 4'!$I$28=" "," ",'Grad 4'!$I$28)</f>
        <v xml:space="preserve"> </v>
      </c>
      <c r="N28" s="135" t="str">
        <f>IF('Grad 4'!$I$31=" "," ",'Grad 4'!$I$31)</f>
        <v xml:space="preserve"> </v>
      </c>
      <c r="O28" s="136" t="str">
        <f>IF('Grad 4'!$B$35=" "," ",'Grad 4'!$B$35)</f>
        <v xml:space="preserve"> </v>
      </c>
      <c r="P28" s="144"/>
      <c r="Q28" s="127"/>
      <c r="R28" s="127"/>
      <c r="S28"/>
      <c r="T28"/>
      <c r="U28"/>
      <c r="V28"/>
      <c r="W28"/>
      <c r="X28"/>
      <c r="Y28"/>
      <c r="Z28"/>
      <c r="AB28" s="6"/>
      <c r="AC28" s="6"/>
      <c r="AD28" s="7"/>
    </row>
    <row r="29" spans="1:30" ht="35.1" customHeight="1">
      <c r="A29" s="224" t="str">
        <f>IF('Mix Info'!B33="","",'Mix Info'!B33)</f>
        <v/>
      </c>
      <c r="B29" s="136" t="str">
        <f>IF('Mix Info'!C33="","",'Mix Info'!C33)</f>
        <v/>
      </c>
      <c r="C29" s="170" t="str">
        <f>IF('Proj Info'!$B$8="","",IF(OR('Proj Info'!$B$8="QMC",'Proj Info'!$B$8="BR",'Proj Info'!$B$8="HPC-D"),'Mix Info'!E33))</f>
        <v/>
      </c>
      <c r="D29" s="234" t="str">
        <f>IF('Grad 5'!$B$1="","",'Grad 5'!$B$1)</f>
        <v/>
      </c>
      <c r="E29" s="296" t="str">
        <f>IF('Grad 5'!$B$20=" "," ",'Grad 5'!$B$20)</f>
        <v xml:space="preserve"> </v>
      </c>
      <c r="F29" s="295"/>
      <c r="G29" s="135" t="str">
        <f>IF('Grad 5'!$I$22=" "," ",'Grad 5'!$I$22)</f>
        <v xml:space="preserve"> </v>
      </c>
      <c r="H29" s="135" t="str">
        <f>IF('Grad 5'!$I$23=" "," ",'Grad 5'!$I$23)</f>
        <v xml:space="preserve"> </v>
      </c>
      <c r="I29" s="135" t="str">
        <f>IF('Grad 5'!$I$24=" "," ",'Grad 5'!$I$24)</f>
        <v xml:space="preserve"> </v>
      </c>
      <c r="J29" s="135" t="str">
        <f>IF('Grad 5'!$I$25=" "," ",'Grad 5'!$I$25)</f>
        <v xml:space="preserve"> </v>
      </c>
      <c r="K29" s="135" t="str">
        <f>IF('Grad 5'!$I$26=" "," ",'Grad 5'!$I$26)</f>
        <v xml:space="preserve"> </v>
      </c>
      <c r="L29" s="135" t="str">
        <f>IF('Grad 5'!$I$27=" "," ",'Grad 5'!$I$27)</f>
        <v xml:space="preserve"> </v>
      </c>
      <c r="M29" s="135" t="str">
        <f>IF('Grad 5'!$I$28=" "," ",'Grad 5'!$I$28)</f>
        <v xml:space="preserve"> </v>
      </c>
      <c r="N29" s="135" t="str">
        <f>IF('Grad 5'!$I$31=" "," ",'Grad 5'!$I$31)</f>
        <v xml:space="preserve"> </v>
      </c>
      <c r="O29" s="136" t="str">
        <f>IF('Grad 5'!$B$35=" "," ",'Grad 5'!$B$35)</f>
        <v xml:space="preserve"> </v>
      </c>
      <c r="P29" s="144"/>
      <c r="Q29" s="127"/>
      <c r="R29" s="127"/>
      <c r="S29"/>
      <c r="T29"/>
      <c r="U29"/>
      <c r="V29"/>
      <c r="W29"/>
      <c r="X29"/>
      <c r="Y29"/>
      <c r="Z29"/>
      <c r="AB29" s="6"/>
      <c r="AC29" s="6"/>
      <c r="AD29" s="7"/>
    </row>
    <row r="30" spans="1:30" customFormat="1" ht="35.1" customHeight="1">
      <c r="A30" s="131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</row>
    <row r="31" spans="1:30" customFormat="1" ht="35.1" customHeight="1">
      <c r="A31" s="131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</row>
    <row r="32" spans="1:30" ht="35.1" customHeight="1">
      <c r="A32" s="304" t="s">
        <v>115</v>
      </c>
      <c r="B32" s="305"/>
      <c r="C32" s="305"/>
      <c r="D32" s="305"/>
      <c r="E32" s="305"/>
      <c r="F32" s="295"/>
      <c r="G32" s="163" t="s">
        <v>61</v>
      </c>
      <c r="H32" s="163" t="s">
        <v>62</v>
      </c>
      <c r="I32" s="163" t="s">
        <v>63</v>
      </c>
      <c r="J32" s="163" t="s">
        <v>64</v>
      </c>
      <c r="K32" s="163" t="s">
        <v>65</v>
      </c>
      <c r="L32" s="163" t="s">
        <v>66</v>
      </c>
      <c r="M32" s="163" t="s">
        <v>67</v>
      </c>
      <c r="N32" s="163" t="s">
        <v>68</v>
      </c>
      <c r="O32" s="163" t="s">
        <v>17</v>
      </c>
      <c r="P32" s="144"/>
      <c r="Q32" s="126"/>
      <c r="R32" s="127"/>
      <c r="S32"/>
      <c r="T32"/>
      <c r="U32"/>
      <c r="V32"/>
      <c r="W32"/>
      <c r="X32"/>
      <c r="Y32"/>
      <c r="Z32"/>
      <c r="AB32" s="6"/>
      <c r="AC32" s="6"/>
      <c r="AD32" s="7"/>
    </row>
    <row r="33" spans="1:30" ht="35.1" customHeight="1">
      <c r="A33" s="130"/>
      <c r="C33" s="228"/>
      <c r="D33" s="130"/>
      <c r="E33" s="130" t="s">
        <v>142</v>
      </c>
      <c r="F33" s="198" t="str">
        <f>IF('Proj Info'!$B$30=" "," ",'Proj Info'!$B$30)</f>
        <v xml:space="preserve"> </v>
      </c>
      <c r="G33" s="116" t="s">
        <v>101</v>
      </c>
      <c r="H33" s="116" t="s">
        <v>103</v>
      </c>
      <c r="I33" s="116" t="s">
        <v>104</v>
      </c>
      <c r="J33" s="116" t="s">
        <v>105</v>
      </c>
      <c r="K33" s="116" t="s">
        <v>107</v>
      </c>
      <c r="L33" s="151" t="s">
        <v>108</v>
      </c>
      <c r="M33" s="151" t="s">
        <v>109</v>
      </c>
      <c r="N33" s="151" t="s">
        <v>110</v>
      </c>
      <c r="O33" s="116" t="s">
        <v>106</v>
      </c>
      <c r="P33" s="133" t="s">
        <v>50</v>
      </c>
      <c r="Q33" s="126"/>
      <c r="R33" s="127"/>
      <c r="S33"/>
      <c r="T33"/>
      <c r="U33"/>
      <c r="V33"/>
      <c r="W33"/>
      <c r="X33"/>
      <c r="Y33"/>
      <c r="Z33"/>
      <c r="AB33" s="6"/>
      <c r="AC33" s="6"/>
      <c r="AD33" s="7"/>
    </row>
    <row r="34" spans="1:30" ht="35.1" customHeight="1">
      <c r="A34" s="224" t="s">
        <v>140</v>
      </c>
      <c r="B34" s="222" t="s">
        <v>141</v>
      </c>
      <c r="C34" s="136" t="s">
        <v>119</v>
      </c>
      <c r="D34" s="197" t="s">
        <v>111</v>
      </c>
      <c r="E34" s="297" t="s">
        <v>112</v>
      </c>
      <c r="F34" s="298"/>
      <c r="G34" s="134"/>
      <c r="H34" s="136" t="str">
        <f>IF('Proj Info'!$B$47=" "," ",'Proj Info'!$B$47)</f>
        <v/>
      </c>
      <c r="I34" s="136" t="str">
        <f>IF('Proj Info'!$B$48=" "," ",'Proj Info'!$B$48)</f>
        <v/>
      </c>
      <c r="J34" s="136" t="str">
        <f>IF('Proj Info'!$B$49=" "," ",'Proj Info'!$B$49)</f>
        <v/>
      </c>
      <c r="K34" s="138"/>
      <c r="L34" s="136" t="str">
        <f>IF('Proj Info'!$B$50=" "," ",'Proj Info'!$B$50)</f>
        <v/>
      </c>
      <c r="M34" s="138"/>
      <c r="N34" s="138"/>
      <c r="O34" s="136" t="str">
        <f>IF('Proj Info'!$B$51=" "," ",'Proj Info'!$B$51)</f>
        <v/>
      </c>
      <c r="P34" s="139" t="s">
        <v>51</v>
      </c>
      <c r="Q34" s="126"/>
      <c r="R34" s="127"/>
      <c r="S34"/>
      <c r="T34"/>
      <c r="U34"/>
      <c r="V34"/>
      <c r="W34"/>
      <c r="X34"/>
      <c r="Y34"/>
      <c r="Z34"/>
      <c r="AB34" s="6"/>
      <c r="AC34" s="6"/>
      <c r="AD34" s="7"/>
    </row>
    <row r="35" spans="1:30" ht="35.1" customHeight="1">
      <c r="A35" s="223" t="str">
        <f>IF('Proj Info'!$B28="","",('Proj Info'!$B28))</f>
        <v/>
      </c>
      <c r="B35" s="195" t="str">
        <f>IF('Proj Info'!$B29="","",('Proj Info'!$B29))</f>
        <v/>
      </c>
      <c r="C35" s="170" t="str">
        <f>IF('Proj Info'!$B$8="","",IF(OR('Proj Info'!$B$8="QMC",'Proj Info'!$B$8="BR",'Proj Info'!$B$8="HPC-D"),'Mix Info'!E6))</f>
        <v/>
      </c>
      <c r="D35" s="234" t="str">
        <f>IF('Grad 1'!$B$1="","",'Grad 1'!$B$1)</f>
        <v/>
      </c>
      <c r="E35" s="294" t="str">
        <f>IF('Grad 1'!$B$38=" "," ",'Grad 1'!$B$38)</f>
        <v xml:space="preserve"> </v>
      </c>
      <c r="F35" s="295"/>
      <c r="G35" s="135" t="str">
        <f>IF(H35=100,"",IF('Grad 1'!$I$41=" "," ",'Grad 1'!$I$41))</f>
        <v xml:space="preserve"> </v>
      </c>
      <c r="H35" s="135" t="str">
        <f>IF('Grad 1'!$I$42=" "," ",'Grad 1'!$I$42)</f>
        <v xml:space="preserve"> </v>
      </c>
      <c r="I35" s="135" t="str">
        <f>IF('Grad 1'!$I$43=" "," ",'Grad 1'!$I$43)</f>
        <v xml:space="preserve"> </v>
      </c>
      <c r="J35" s="135" t="str">
        <f>IF('Grad 1'!$I$44=" "," ",'Grad 1'!$I$44)</f>
        <v xml:space="preserve"> </v>
      </c>
      <c r="K35" s="135" t="str">
        <f>IF('Grad 1'!$I$45=" "," ",'Grad 1'!$I$45)</f>
        <v xml:space="preserve"> </v>
      </c>
      <c r="L35" s="135" t="str">
        <f>IF('Grad 1'!$I$46=" "," ",'Grad 1'!$I$46)</f>
        <v xml:space="preserve"> </v>
      </c>
      <c r="M35" s="135" t="str">
        <f>IF('Grad 1'!$I$47=" "," ",'Grad 1'!$I$47)</f>
        <v xml:space="preserve"> </v>
      </c>
      <c r="N35" s="135" t="str">
        <f>IF('Grad 1'!$I$48=" "," ",'Grad 1'!$I$48)</f>
        <v xml:space="preserve"> </v>
      </c>
      <c r="O35" s="135" t="str">
        <f>IF('Grad 1'!$I$49=" "," ",'Grad 1'!$I$49)</f>
        <v xml:space="preserve"> </v>
      </c>
      <c r="P35" s="136" t="str">
        <f>IF('Grad 1'!$B$52=" "," ",'Grad 1'!$B$52)</f>
        <v xml:space="preserve"> </v>
      </c>
      <c r="Q35" s="126"/>
      <c r="R35" s="127"/>
      <c r="S35"/>
      <c r="T35"/>
      <c r="U35"/>
      <c r="V35"/>
      <c r="W35"/>
      <c r="X35"/>
      <c r="Y35"/>
      <c r="Z35"/>
      <c r="AB35" s="6"/>
      <c r="AC35" s="6"/>
      <c r="AD35" s="7"/>
    </row>
    <row r="36" spans="1:30" ht="35.1" customHeight="1">
      <c r="A36" s="224" t="str">
        <f>IF('Mix Info'!B13="","",'Mix Info'!B13)</f>
        <v/>
      </c>
      <c r="B36" s="136" t="str">
        <f>IF('Mix Info'!C13="","",'Mix Info'!C13)</f>
        <v/>
      </c>
      <c r="C36" s="170" t="str">
        <f>IF('Proj Info'!$B$8="","",IF(OR('Proj Info'!$B$8="QMC",'Proj Info'!$B$8="BR",'Proj Info'!$B$8="HPC-D"),'Mix Info'!E13))</f>
        <v/>
      </c>
      <c r="D36" s="234" t="str">
        <f>IF('Grad 2'!$B$1="","",'Grad 2'!$B$1)</f>
        <v/>
      </c>
      <c r="E36" s="294" t="str">
        <f>IF('Grad 2'!$B$38=" "," ",'Grad 2'!$B$38)</f>
        <v xml:space="preserve"> </v>
      </c>
      <c r="F36" s="295"/>
      <c r="G36" s="135" t="str">
        <f>IF(H36=100,"",IF('Grad 2'!$I$41=" "," ",'Grad 2'!$I$41))</f>
        <v xml:space="preserve"> </v>
      </c>
      <c r="H36" s="135" t="str">
        <f>IF('Grad 2'!$I$42=" "," ",'Grad 2'!$I$42)</f>
        <v xml:space="preserve"> </v>
      </c>
      <c r="I36" s="135" t="str">
        <f>IF('Grad 2'!$I$43=" "," ",'Grad 2'!$I$43)</f>
        <v xml:space="preserve"> </v>
      </c>
      <c r="J36" s="135" t="str">
        <f>IF('Grad 2'!$I$44=" "," ",'Grad 2'!$I$44)</f>
        <v xml:space="preserve"> </v>
      </c>
      <c r="K36" s="135" t="str">
        <f>IF('Grad 2'!$I$45=" "," ",'Grad 2'!$I$45)</f>
        <v xml:space="preserve"> </v>
      </c>
      <c r="L36" s="135" t="str">
        <f>IF('Grad 2'!$I$46=" "," ",'Grad 2'!$I$46)</f>
        <v xml:space="preserve"> </v>
      </c>
      <c r="M36" s="135" t="str">
        <f>IF('Grad 2'!$I$47=" "," ",'Grad 2'!$I$47)</f>
        <v xml:space="preserve"> </v>
      </c>
      <c r="N36" s="135" t="str">
        <f>IF('Grad 2'!$I$48=" "," ",'Grad 2'!$I$48)</f>
        <v xml:space="preserve"> </v>
      </c>
      <c r="O36" s="135" t="str">
        <f>IF('Grad 2'!$I$49=" "," ",'Grad 2'!$I$49)</f>
        <v xml:space="preserve"> </v>
      </c>
      <c r="P36" s="136" t="str">
        <f>IF('Grad 2'!$B$52=" "," ",'Grad 2'!$B$52)</f>
        <v xml:space="preserve"> </v>
      </c>
      <c r="Q36" s="126"/>
      <c r="R36" s="126"/>
      <c r="S36" s="103"/>
      <c r="T36" s="97"/>
      <c r="U36"/>
      <c r="V36"/>
      <c r="W36"/>
      <c r="X36"/>
      <c r="Y36"/>
      <c r="Z36"/>
      <c r="AB36" s="6"/>
      <c r="AC36" s="6"/>
      <c r="AD36" s="7"/>
    </row>
    <row r="37" spans="1:30" ht="35.1" customHeight="1">
      <c r="A37" s="224" t="str">
        <f>IF('Mix Info'!B20="","",'Mix Info'!B20)</f>
        <v/>
      </c>
      <c r="B37" s="136" t="str">
        <f>IF('Mix Info'!C20="","",'Mix Info'!C20)</f>
        <v/>
      </c>
      <c r="C37" s="170" t="str">
        <f>IF('Proj Info'!$B$8="","",IF(OR('Proj Info'!$B$8="QMC",'Proj Info'!$B$8="BR",'Proj Info'!$B$8="HPC-D"),'Mix Info'!E20))</f>
        <v/>
      </c>
      <c r="D37" s="234" t="str">
        <f>IF('Grad 3'!$B$1="","",'Grad 3'!$B$1)</f>
        <v/>
      </c>
      <c r="E37" s="294" t="str">
        <f>IF('Grad 3'!$B$38=" "," ",'Grad 3'!$B$38)</f>
        <v xml:space="preserve"> </v>
      </c>
      <c r="F37" s="295"/>
      <c r="G37" s="145" t="str">
        <f>IF(H37=100,"",IF('Grad 3'!$I$41=" "," ",'Grad 3'!$I$41))</f>
        <v xml:space="preserve"> </v>
      </c>
      <c r="H37" s="145" t="str">
        <f>IF('Grad 3'!$I$42=" "," ",'Grad 3'!$I$42)</f>
        <v xml:space="preserve"> </v>
      </c>
      <c r="I37" s="135" t="str">
        <f>IF('Grad 3'!$I$43=" "," ",'Grad 3'!$I$43)</f>
        <v xml:space="preserve"> </v>
      </c>
      <c r="J37" s="135" t="str">
        <f>IF('Grad 3'!$I$44=" "," ",'Grad 3'!$I$44)</f>
        <v xml:space="preserve"> </v>
      </c>
      <c r="K37" s="135" t="str">
        <f>IF('Grad 3'!$I$45=" "," ",'Grad 3'!$I$45)</f>
        <v xml:space="preserve"> </v>
      </c>
      <c r="L37" s="135" t="str">
        <f>IF('Grad 3'!$I$46=" "," ",'Grad 3'!$I$46)</f>
        <v xml:space="preserve"> </v>
      </c>
      <c r="M37" s="135" t="str">
        <f>IF('Grad 3'!$I$47=" "," ",'Grad 3'!$I$47)</f>
        <v xml:space="preserve"> </v>
      </c>
      <c r="N37" s="135" t="str">
        <f>IF('Grad 3'!$I$48=" "," ",'Grad 3'!$I$48)</f>
        <v xml:space="preserve"> </v>
      </c>
      <c r="O37" s="135" t="str">
        <f>IF('Grad 3'!$I$49=" "," ",'Grad 3'!$I$49)</f>
        <v xml:space="preserve"> </v>
      </c>
      <c r="P37" s="136" t="str">
        <f>IF('Grad 3'!$B$52=" "," ",'Grad 3'!$B$52)</f>
        <v xml:space="preserve"> </v>
      </c>
      <c r="Q37" s="126"/>
      <c r="R37" s="126"/>
      <c r="S37" s="103"/>
      <c r="T37" s="97"/>
      <c r="U37"/>
      <c r="V37"/>
      <c r="W37"/>
      <c r="X37"/>
      <c r="Y37"/>
      <c r="Z37"/>
      <c r="AB37" s="6"/>
      <c r="AC37" s="6"/>
      <c r="AD37" s="7"/>
    </row>
    <row r="38" spans="1:30" ht="35.1" customHeight="1">
      <c r="A38" s="224" t="str">
        <f>IF('Mix Info'!B27="","",'Mix Info'!B27)</f>
        <v/>
      </c>
      <c r="B38" s="136" t="str">
        <f>IF('Mix Info'!C27="","",'Mix Info'!C27)</f>
        <v/>
      </c>
      <c r="C38" s="170" t="str">
        <f>IF('Proj Info'!$B$8="","",IF(OR('Proj Info'!$B$8="QMC",'Proj Info'!$B$8="BR",'Proj Info'!$B$8="HPC-D"),'Mix Info'!E27))</f>
        <v/>
      </c>
      <c r="D38" s="234" t="str">
        <f>IF('Grad 4'!$B$1="","",'Grad 4'!$B$1)</f>
        <v/>
      </c>
      <c r="E38" s="294" t="str">
        <f>IF('Grad 4'!$B$38=" "," ",'Grad 4'!$B$38)</f>
        <v xml:space="preserve"> </v>
      </c>
      <c r="F38" s="295"/>
      <c r="G38" s="145" t="str">
        <f>IF(H38=100,"",IF('Grad 4'!$I$41=" "," ",'Grad 4'!$I$41))</f>
        <v xml:space="preserve"> </v>
      </c>
      <c r="H38" s="145" t="str">
        <f>IF('Grad 4'!$I$42=" "," ",'Grad 4'!$I$42)</f>
        <v xml:space="preserve"> </v>
      </c>
      <c r="I38" s="135" t="str">
        <f>IF('Grad 4'!$I$43=" "," ",'Grad 4'!$I$43)</f>
        <v xml:space="preserve"> </v>
      </c>
      <c r="J38" s="135" t="str">
        <f>IF('Grad 4'!$I$44=" "," ",'Grad 4'!$I$44)</f>
        <v xml:space="preserve"> </v>
      </c>
      <c r="K38" s="135" t="str">
        <f>IF('Grad 4'!$I$45=" "," ",'Grad 4'!$I$45)</f>
        <v xml:space="preserve"> </v>
      </c>
      <c r="L38" s="135" t="str">
        <f>IF('Grad 4'!$I$46=" "," ",'Grad 4'!$I$46)</f>
        <v xml:space="preserve"> </v>
      </c>
      <c r="M38" s="135" t="str">
        <f>IF('Grad 4'!$I$47=" "," ",'Grad 4'!$I$47)</f>
        <v xml:space="preserve"> </v>
      </c>
      <c r="N38" s="135" t="str">
        <f>IF('Grad 4'!$I$48=" "," ",'Grad 4'!$I$48)</f>
        <v xml:space="preserve"> </v>
      </c>
      <c r="O38" s="135" t="str">
        <f>IF('Grad 4'!$I$49=" "," ",'Grad 4'!$I$49)</f>
        <v xml:space="preserve"> </v>
      </c>
      <c r="P38" s="136" t="str">
        <f>IF('Grad 4'!$B$52=" "," ",'Grad 4'!$B$52)</f>
        <v xml:space="preserve"> </v>
      </c>
      <c r="Q38" s="126"/>
      <c r="R38" s="126"/>
      <c r="S38" s="103"/>
      <c r="T38" s="97"/>
      <c r="U38"/>
      <c r="V38"/>
      <c r="W38"/>
      <c r="X38"/>
      <c r="Y38"/>
      <c r="Z38"/>
      <c r="AB38" s="6"/>
      <c r="AC38" s="6"/>
      <c r="AD38" s="7"/>
    </row>
    <row r="39" spans="1:30" ht="35.1" customHeight="1">
      <c r="A39" s="224" t="str">
        <f>IF('Mix Info'!B34="","",'Mix Info'!B34)</f>
        <v/>
      </c>
      <c r="B39" s="136" t="str">
        <f>IF('Mix Info'!C34="","",'Mix Info'!C34)</f>
        <v/>
      </c>
      <c r="C39" s="170" t="str">
        <f>IF('Proj Info'!$B$8="","",IF(OR('Proj Info'!$B$8="QMC",'Proj Info'!$B$8="BR",'Proj Info'!$B$8="HPC-D"),'Mix Info'!E34))</f>
        <v/>
      </c>
      <c r="D39" s="234" t="str">
        <f>IF('Grad 5'!$B$1="","",'Grad 5'!$B$1)</f>
        <v/>
      </c>
      <c r="E39" s="294" t="str">
        <f>IF('Grad 5'!$B$38=" "," ",'Grad 5'!$B$38)</f>
        <v xml:space="preserve"> </v>
      </c>
      <c r="F39" s="295"/>
      <c r="G39" s="145" t="str">
        <f>IF(H39=100,"",IF('Grad 5'!$I$41=" "," ",'Grad 5'!$I$41))</f>
        <v xml:space="preserve"> </v>
      </c>
      <c r="H39" s="145" t="str">
        <f>IF('Grad 5'!$I$42=" "," ",'Grad 5'!$I$42)</f>
        <v xml:space="preserve"> </v>
      </c>
      <c r="I39" s="135" t="str">
        <f>IF('Grad 5'!$I$43=" "," ",'Grad 5'!$I$43)</f>
        <v xml:space="preserve"> </v>
      </c>
      <c r="J39" s="135" t="str">
        <f>IF('Grad 5'!$I$44=" "," ",'Grad 5'!$I$44)</f>
        <v xml:space="preserve"> </v>
      </c>
      <c r="K39" s="135" t="str">
        <f>IF('Grad 5'!$I$45=" "," ",'Grad 5'!$I$45)</f>
        <v xml:space="preserve"> </v>
      </c>
      <c r="L39" s="135" t="str">
        <f>IF('Grad 5'!$I$46=" "," ",'Grad 5'!$I$46)</f>
        <v xml:space="preserve"> </v>
      </c>
      <c r="M39" s="135" t="str">
        <f>IF('Grad 5'!$I$47=" "," ",'Grad 5'!$I$47)</f>
        <v xml:space="preserve"> </v>
      </c>
      <c r="N39" s="135" t="str">
        <f>IF('Grad 5'!$I$48=" "," ",'Grad 5'!$I$48)</f>
        <v xml:space="preserve"> </v>
      </c>
      <c r="O39" s="135" t="str">
        <f>IF('Grad 5'!$I$49=" "," ",'Grad 5'!$I$49)</f>
        <v xml:space="preserve"> </v>
      </c>
      <c r="P39" s="136" t="str">
        <f>IF('Grad 5'!$B$52=" "," ",'Grad 5'!$B$52)</f>
        <v xml:space="preserve"> </v>
      </c>
      <c r="Q39" s="126"/>
      <c r="R39" s="126"/>
      <c r="S39" s="103"/>
      <c r="T39" s="97"/>
      <c r="U39"/>
      <c r="V39"/>
      <c r="W39"/>
      <c r="X39"/>
      <c r="Y39"/>
      <c r="Z39"/>
      <c r="AB39" s="6"/>
      <c r="AC39" s="6"/>
      <c r="AD39" s="7"/>
    </row>
    <row r="40" spans="1:30" ht="35.1" customHeight="1">
      <c r="B40" s="127"/>
      <c r="C40" s="127"/>
      <c r="D40" s="141"/>
      <c r="E40" s="141"/>
      <c r="F40" s="141"/>
      <c r="G40" s="141"/>
      <c r="H40" s="141"/>
      <c r="I40" s="143"/>
      <c r="J40" s="143"/>
      <c r="K40" s="143"/>
      <c r="L40" s="143"/>
      <c r="M40" s="143"/>
      <c r="N40" s="143"/>
      <c r="O40" s="143"/>
      <c r="P40" s="140"/>
      <c r="Q40" s="126"/>
      <c r="R40" s="126"/>
      <c r="S40" s="103"/>
      <c r="T40" s="97"/>
      <c r="U40"/>
      <c r="V40"/>
      <c r="W40"/>
      <c r="X40"/>
      <c r="Y40"/>
      <c r="Z40"/>
      <c r="AB40" s="6"/>
      <c r="AC40" s="6"/>
      <c r="AD40" s="7"/>
    </row>
    <row r="41" spans="1:30" ht="35.1" customHeight="1">
      <c r="B41" s="127"/>
      <c r="C41" s="127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03"/>
      <c r="T41" s="97"/>
      <c r="U41"/>
      <c r="V41"/>
      <c r="W41"/>
      <c r="X41"/>
      <c r="Y41"/>
      <c r="Z41"/>
      <c r="AB41" s="6"/>
      <c r="AC41" s="6"/>
      <c r="AD41" s="7"/>
    </row>
    <row r="42" spans="1:30" ht="35.1" customHeight="1">
      <c r="A42" s="153" t="s">
        <v>118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5"/>
      <c r="N42" s="309" t="s">
        <v>120</v>
      </c>
      <c r="O42" s="309" t="s">
        <v>121</v>
      </c>
      <c r="P42" s="309" t="s">
        <v>122</v>
      </c>
      <c r="Q42" s="156"/>
      <c r="R42" s="126"/>
      <c r="S42" s="103"/>
      <c r="T42" s="97"/>
      <c r="U42"/>
      <c r="V42"/>
      <c r="W42"/>
      <c r="X42"/>
      <c r="Y42"/>
      <c r="Z42"/>
      <c r="AB42" s="6"/>
      <c r="AC42" s="6"/>
      <c r="AD42" s="7"/>
    </row>
    <row r="43" spans="1:30" ht="35.1" customHeight="1">
      <c r="A43" s="217" t="s">
        <v>215</v>
      </c>
      <c r="B43" s="217" t="s">
        <v>216</v>
      </c>
      <c r="C43" s="217" t="s">
        <v>217</v>
      </c>
      <c r="D43" s="217" t="s">
        <v>218</v>
      </c>
      <c r="E43" s="217" t="s">
        <v>219</v>
      </c>
      <c r="F43" s="217" t="s">
        <v>220</v>
      </c>
      <c r="G43" s="217" t="s">
        <v>221</v>
      </c>
      <c r="H43" s="217" t="s">
        <v>222</v>
      </c>
      <c r="I43" s="217" t="s">
        <v>223</v>
      </c>
      <c r="J43" s="217" t="s">
        <v>224</v>
      </c>
      <c r="K43" s="217" t="s">
        <v>225</v>
      </c>
      <c r="L43" s="217" t="s">
        <v>226</v>
      </c>
      <c r="M43" s="146" t="s">
        <v>84</v>
      </c>
      <c r="N43" s="316"/>
      <c r="O43" s="310"/>
      <c r="P43" s="310"/>
      <c r="Q43" s="156"/>
      <c r="R43" s="126"/>
      <c r="S43" s="103"/>
      <c r="T43" s="97"/>
      <c r="U43" s="102"/>
      <c r="V43" s="117"/>
      <c r="W43" s="118"/>
      <c r="X43" s="117"/>
      <c r="Y43" s="114"/>
      <c r="Z43" s="114"/>
      <c r="AB43" s="6"/>
      <c r="AC43" s="6"/>
      <c r="AD43" s="7"/>
    </row>
    <row r="44" spans="1:30" ht="35.1" customHeight="1">
      <c r="A44" s="132" t="str">
        <f>IF($G$8="QMC",'Grad 1'!AE19,"  ")</f>
        <v xml:space="preserve">  </v>
      </c>
      <c r="B44" s="132" t="str">
        <f>IF($G$8="QMC",'Grad 1'!AE20,"  ")</f>
        <v xml:space="preserve">  </v>
      </c>
      <c r="C44" s="132" t="str">
        <f>IF($G$8="QMC",'Grad 1'!AE21,"  ")</f>
        <v xml:space="preserve">  </v>
      </c>
      <c r="D44" s="132" t="str">
        <f>IF($G$8="QMC",'Grad 1'!AE22,"  ")</f>
        <v xml:space="preserve">  </v>
      </c>
      <c r="E44" s="132" t="str">
        <f>IF($G$8="QMC",'Grad 1'!AE23,"  ")</f>
        <v xml:space="preserve">  </v>
      </c>
      <c r="F44" s="132" t="str">
        <f>IF($G$8="QMC",'Grad 1'!AE24,"  ")</f>
        <v xml:space="preserve">  </v>
      </c>
      <c r="G44" s="132" t="str">
        <f>IF($G$8="QMC",'Grad 1'!AE25,"  ")</f>
        <v xml:space="preserve">  </v>
      </c>
      <c r="H44" s="132" t="str">
        <f>IF($G$8="QMC",'Grad 1'!AE26,"  ")</f>
        <v xml:space="preserve">  </v>
      </c>
      <c r="I44" s="132" t="str">
        <f>IF($G$8="QMC",'Grad 1'!AE27,"  ")</f>
        <v xml:space="preserve">  </v>
      </c>
      <c r="J44" s="132" t="str">
        <f>IF($G$8="QMC",'Grad 1'!AE28,"  ")</f>
        <v xml:space="preserve">  </v>
      </c>
      <c r="K44" s="132" t="str">
        <f>IF($G$8="QMC",'Grad 1'!AE29,"  ")</f>
        <v xml:space="preserve">  </v>
      </c>
      <c r="L44" s="132" t="str">
        <f>IF($G$8="QMC",'Grad 1'!AE30,"  ")</f>
        <v xml:space="preserve">  </v>
      </c>
      <c r="M44" s="147" t="s">
        <v>81</v>
      </c>
      <c r="N44" s="317"/>
      <c r="O44" s="311"/>
      <c r="P44" s="311"/>
      <c r="Q44" s="156"/>
      <c r="R44" s="127"/>
      <c r="S44" s="95"/>
      <c r="T44"/>
      <c r="U44"/>
      <c r="V44"/>
      <c r="W44"/>
      <c r="X44"/>
      <c r="Y44"/>
      <c r="Z44" s="114"/>
      <c r="AB44" s="6"/>
      <c r="AC44" s="6"/>
      <c r="AD44" s="7"/>
    </row>
    <row r="45" spans="1:30" ht="35.1" customHeight="1">
      <c r="A45" s="254" t="str">
        <f>IF($G$8="BR",'Grad 1'!$Y19,IF($G$8="QMC",'Grad 1'!$Y19,IF($G$8="HPC-D",'Grad 1'!$Y19,"")))</f>
        <v/>
      </c>
      <c r="B45" s="254" t="str">
        <f>IF($G$8="BR",'Grad 1'!$Y20,IF($G$8="QMC",'Grad 1'!$Y20,IF($G$8="HPC-D",'Grad 1'!$Y20,"")))</f>
        <v/>
      </c>
      <c r="C45" s="254" t="str">
        <f>IF($G$8="BR",'Grad 1'!$Y21,IF($G$8="QMC",'Grad 1'!$Y21,IF($G$8="HPC-D",'Grad 1'!$Y21,"")))</f>
        <v/>
      </c>
      <c r="D45" s="254" t="str">
        <f>IF($G$8="BR",'Grad 1'!$Y22,IF($G$8="QMC",'Grad 1'!$Y22,IF($G$8="HPC-D",'Grad 1'!$Y22,"")))</f>
        <v/>
      </c>
      <c r="E45" s="254" t="str">
        <f>IF($G$8="BR",'Grad 1'!$Y23,IF($G$8="QMC",'Grad 1'!$Y23,IF($G$8="HPC-D",'Grad 1'!$Y23,"")))</f>
        <v/>
      </c>
      <c r="F45" s="254" t="str">
        <f>IF($G$8="BR",'Grad 1'!$Y24,IF($G$8="QMC",'Grad 1'!$Y24,IF($G$8="HPC-D",'Grad 1'!$Y24,"")))</f>
        <v/>
      </c>
      <c r="G45" s="248" t="str">
        <f>IF($G$8="BR",'Grad 1'!$Y25,IF($G$8="QMC",'Grad 1'!$Y25,IF($G$8="HPC-D",'Grad 1'!$Y25,"")))</f>
        <v/>
      </c>
      <c r="H45" s="248" t="str">
        <f>IF($G$8="BR",'Grad 1'!$Y26,IF($G$8="QMC",'Grad 1'!$Y26,IF($G$8="HPC-D",'Grad 1'!$Y26,"")))</f>
        <v/>
      </c>
      <c r="I45" s="248" t="str">
        <f>IF($G$8="BR",'Grad 1'!$Y27,IF($G$8="QMC",'Grad 1'!$Y27,IF($G$8="HPC-D",'Grad 1'!$Y27,"")))</f>
        <v/>
      </c>
      <c r="J45" s="248" t="str">
        <f>IF($G$8="BR",'Grad 1'!$Y28,IF($G$8="QMC",'Grad 1'!$Y28,IF($G$8="HPC-D",'Grad 1'!$Y28,"")))</f>
        <v/>
      </c>
      <c r="K45" s="248" t="str">
        <f>IF($G$8="BR",'Grad 1'!$Y29,IF($G$8="QMC",'Grad 1'!$Y29,IF($G$8="HPC-D",'Grad 1'!$Y29,"")))</f>
        <v/>
      </c>
      <c r="L45" s="248" t="str">
        <f>IF($G$8="BR",'Grad 1'!$Y30,IF($G$8="QMC",'Grad 1'!$Y30,IF($G$8="HPC-D",'Grad 1'!$Y30,"")))</f>
        <v/>
      </c>
      <c r="M45" s="147" t="str">
        <f>IF('Grad 1'!Y19="","",IF(G$8="QMC",'Grad 1'!$AE$31," "))</f>
        <v xml:space="preserve"> </v>
      </c>
      <c r="N45" s="252" t="str">
        <f>IF($G$8="BR",'Grad 1'!$Y$32,IF($G$8="QMC",'Grad 1'!$Y$32,IF($G$8="HPC-D",'Grad 1'!$Y$32,IF($G$8="C-SUD",'Grad 1'!$Y$32,""))))</f>
        <v/>
      </c>
      <c r="O45" s="252" t="str">
        <f>IF($G$8="BR",'Grad 1'!$Y$33,IF($G$8="QMC",'Grad 1'!$Y$33,IF($G$8="HPC-D",'Grad 1'!$Y$33,IF($G$8="C-SUD",'Grad 1'!$Y$33,""))))</f>
        <v/>
      </c>
      <c r="P45" s="199"/>
      <c r="R45" s="127"/>
      <c r="S45" s="95"/>
      <c r="T45"/>
      <c r="U45"/>
      <c r="V45"/>
      <c r="W45"/>
      <c r="X45"/>
      <c r="Y45"/>
      <c r="Z45" s="114"/>
      <c r="AB45" s="6"/>
      <c r="AC45" s="6"/>
      <c r="AD45" s="7"/>
    </row>
    <row r="46" spans="1:30" ht="35.1" customHeight="1">
      <c r="A46" s="254" t="str">
        <f>IF($G$8="BR",'Grad 2'!$Y19,IF($G$8="QMC",'Grad 2'!$Y19,IF($G$8="HPC-D",'Grad 2'!$Y19,"")))</f>
        <v/>
      </c>
      <c r="B46" s="254" t="str">
        <f>IF($G$8="BR",'Grad 2'!$Y20,IF($G$8="QMC",'Grad 2'!$Y20,IF($G$8="HPC-D",'Grad 2'!$Y20,"")))</f>
        <v/>
      </c>
      <c r="C46" s="254" t="str">
        <f>IF($G$8="BR",'Grad 2'!$Y21,IF($G$8="QMC",'Grad 2'!$Y21,IF($G$8="HPC-D",'Grad 2'!$Y21,"")))</f>
        <v/>
      </c>
      <c r="D46" s="254" t="str">
        <f>IF($G$8="BR",'Grad 2'!$Y22,IF($G$8="QMC",'Grad 2'!$Y22,IF($G$8="HPC-D",'Grad 2'!$Y22,"")))</f>
        <v/>
      </c>
      <c r="E46" s="254" t="str">
        <f>IF($G$8="BR",'Grad 2'!$Y23,IF($G$8="QMC",'Grad 2'!$Y23,IF($G$8="HPC-D",'Grad 2'!$Y23,"")))</f>
        <v/>
      </c>
      <c r="F46" s="254" t="str">
        <f>IF($G$8="BR",'Grad 2'!$Y24,IF($G$8="QMC",'Grad 2'!$Y24,IF($G$8="HPC-D",'Grad 2'!$Y24,"")))</f>
        <v/>
      </c>
      <c r="G46" s="248" t="str">
        <f>IF($G$8="BR",'Grad 2'!$Y25,IF($G$8="QMC",'Grad 2'!$Y25,IF($G$8="HPC-D",'Grad 2'!$Y25,"")))</f>
        <v/>
      </c>
      <c r="H46" s="248" t="str">
        <f>IF($G$8="BR",'Grad 2'!$Y26,IF($G$8="QMC",'Grad 2'!$Y26,IF($G$8="HPC-D",'Grad 2'!$Y26,"")))</f>
        <v/>
      </c>
      <c r="I46" s="248" t="str">
        <f>IF($G$8="BR",'Grad 2'!$Y27,IF($G$8="QMC",'Grad 2'!$Y27,IF($G$8="HPC-D",'Grad 2'!$Y27,"")))</f>
        <v/>
      </c>
      <c r="J46" s="248" t="str">
        <f>IF($G$8="BR",'Grad 2'!$Y28,IF($G$8="QMC",'Grad 2'!$Y28,IF($G$8="HPC-D",'Grad 2'!$Y28,"")))</f>
        <v/>
      </c>
      <c r="K46" s="248" t="str">
        <f>IF($G$8="BR",'Grad 2'!$Y29,IF($G$8="QMC",'Grad 2'!$Y29,IF($G$8="HPC-D",'Grad 2'!$Y29,"")))</f>
        <v/>
      </c>
      <c r="L46" s="248" t="str">
        <f>IF($G$8="BR",'Grad 2'!$Y30,IF($G$8="QMC",'Grad 2'!$Y30,IF($G$8="HPC-D",'Grad 2'!$Y30,"")))</f>
        <v/>
      </c>
      <c r="M46" s="147" t="str">
        <f>IF('Grad 2'!Y20="","",IF(G$8="QMC",'Grad 2'!$AE$31," "))</f>
        <v xml:space="preserve"> </v>
      </c>
      <c r="N46" s="252" t="str">
        <f>IF($G$8="BR",'Grad 2'!$Y$32,IF($G$8="QMC",'Grad 2'!$Y$32,IF($G$8="HPC-D",'Grad 2'!$Y$32,IF($G$8="C-SUD",'Grad 2'!$Y$32,""))))</f>
        <v/>
      </c>
      <c r="O46" s="252" t="str">
        <f>IF($G$8="BR",'Grad 2'!$Y$33,IF($G$8="QMC",'Grad 2'!$Y$33,IF($G$8="HPC-D",'Grad 2'!$Y$33,IF($G$8="C-SUD",'Grad 2'!$Y$33,""))))</f>
        <v/>
      </c>
      <c r="P46" s="199"/>
      <c r="R46" s="127"/>
      <c r="S46" s="95"/>
      <c r="T46"/>
      <c r="U46"/>
      <c r="V46"/>
      <c r="W46"/>
      <c r="X46"/>
      <c r="Y46"/>
      <c r="Z46" s="114"/>
      <c r="AC46" s="6"/>
      <c r="AD46" s="7"/>
    </row>
    <row r="47" spans="1:30" ht="35.1" customHeight="1">
      <c r="A47" s="254" t="str">
        <f>IF($G$8="BR",'Grad 3'!$Y19,IF($G$8="QMC",'Grad 3'!$Y19,IF($G$8="HPC-D",'Grad 3'!$Y19,"")))</f>
        <v/>
      </c>
      <c r="B47" s="254" t="str">
        <f>IF($G$8="BR",'Grad 3'!$Y20,IF($G$8="QMC",'Grad 3'!$Y20,IF($G$8="HPC-D",'Grad 3'!$Y20,"")))</f>
        <v/>
      </c>
      <c r="C47" s="254" t="str">
        <f>IF($G$8="BR",'Grad 3'!$Y21,IF($G$8="QMC",'Grad 3'!$Y21,IF($G$8="HPC-D",'Grad 3'!$Y21,"")))</f>
        <v/>
      </c>
      <c r="D47" s="254" t="str">
        <f>IF($G$8="BR",'Grad 3'!$Y22,IF($G$8="QMC",'Grad 3'!$Y22,IF($G$8="HPC-D",'Grad 3'!$Y22,"")))</f>
        <v/>
      </c>
      <c r="E47" s="254" t="str">
        <f>IF($G$8="BR",'Grad 3'!$Y23,IF($G$8="QMC",'Grad 3'!$Y23,IF($G$8="HPC-D",'Grad 3'!$Y23,"")))</f>
        <v/>
      </c>
      <c r="F47" s="254" t="str">
        <f>IF($G$8="BR",'Grad 3'!$Y24,IF($G$8="QMC",'Grad 3'!$Y24,IF($G$8="HPC-D",'Grad 3'!$Y24,"")))</f>
        <v/>
      </c>
      <c r="G47" s="248" t="str">
        <f>IF($G$8="BR",'Grad 3'!$Y25,IF($G$8="QMC",'Grad 3'!$Y25,IF($G$8="HPC-D",'Grad 3'!$Y25,"")))</f>
        <v/>
      </c>
      <c r="H47" s="248" t="str">
        <f>IF($G$8="BR",'Grad 3'!$Y26,IF($G$8="QMC",'Grad 3'!$Y26,IF($G$8="HPC-D",'Grad 3'!$Y26,"")))</f>
        <v/>
      </c>
      <c r="I47" s="248" t="str">
        <f>IF($G$8="BR",'Grad 3'!$Y27,IF($G$8="QMC",'Grad 3'!$Y27,IF($G$8="HPC-D",'Grad 3'!$Y27,"")))</f>
        <v/>
      </c>
      <c r="J47" s="248" t="str">
        <f>IF($G$8="BR",'Grad 3'!$Y28,IF($G$8="QMC",'Grad 3'!$Y28,IF($G$8="HPC-D",'Grad 3'!$Y28,"")))</f>
        <v/>
      </c>
      <c r="K47" s="248" t="str">
        <f>IF($G$8="BR",'Grad 3'!$Y29,IF($G$8="QMC",'Grad 3'!$Y29,IF($G$8="HPC-D",'Grad 3'!$Y29,"")))</f>
        <v/>
      </c>
      <c r="L47" s="248" t="str">
        <f>IF($G$8="BR",'Grad 3'!$Y30,IF($G$8="QMC",'Grad 3'!$Y30,IF($G$8="HPC-D",'Grad 3'!$Y30,"")))</f>
        <v/>
      </c>
      <c r="M47" s="147" t="str">
        <f>IF('Grad 3'!Y21="","",IF(G$8="QMC",'Grad 3'!$AE$31," "))</f>
        <v xml:space="preserve"> </v>
      </c>
      <c r="N47" s="252" t="str">
        <f>IF($G$8="BR",'Grad 3'!$Y$32,IF($G$8="QMC",'Grad 3'!$Y$32,IF($G$8="HPC-D",'Grad 3'!$Y$32,IF($G$8="C-SUD",'Grad 3'!$Y$32,""))))</f>
        <v/>
      </c>
      <c r="O47" s="252" t="str">
        <f>IF($G$8="BR",'Grad 3'!$Y$33,IF($G$8="QMC",'Grad 3'!$Y$33,IF($G$8="HPC-D",'Grad 3'!$Y$33,IF($G$8="C-SUD",'Grad 3'!$Y$33,""))))</f>
        <v/>
      </c>
      <c r="P47" s="199"/>
      <c r="R47" s="127"/>
      <c r="S47" s="95"/>
      <c r="T47"/>
      <c r="U47"/>
      <c r="V47"/>
      <c r="W47"/>
      <c r="X47"/>
      <c r="Y47"/>
      <c r="Z47" s="103"/>
      <c r="AC47" s="6"/>
      <c r="AD47" s="7"/>
    </row>
    <row r="48" spans="1:30" ht="35.1" customHeight="1">
      <c r="A48" s="254" t="str">
        <f>IF($G$8="BR",'Grad 4'!$Y19,IF($G$8="QMC",'Grad 4'!$Y19,IF($G$8="HPC-D",'Grad 4'!$Y19,"")))</f>
        <v/>
      </c>
      <c r="B48" s="254" t="str">
        <f>IF($G$8="BR",'Grad 4'!$Y20,IF($G$8="QMC",'Grad 4'!$Y20,IF($G$8="HPC-D",'Grad 4'!$Y20,"")))</f>
        <v/>
      </c>
      <c r="C48" s="254" t="str">
        <f>IF($G$8="BR",'Grad 4'!$Y21,IF($G$8="QMC",'Grad 4'!$Y21,IF($G$8="HPC-D",'Grad 4'!$Y21,"")))</f>
        <v/>
      </c>
      <c r="D48" s="254" t="str">
        <f>IF($G$8="BR",'Grad 4'!$Y22,IF($G$8="QMC",'Grad 4'!$Y22,IF($G$8="HPC-D",'Grad 4'!$Y22,"")))</f>
        <v/>
      </c>
      <c r="E48" s="254" t="str">
        <f>IF($G$8="BR",'Grad 4'!$Y23,IF($G$8="QMC",'Grad 4'!$Y23,IF($G$8="HPC-D",'Grad 4'!$Y23,"")))</f>
        <v/>
      </c>
      <c r="F48" s="254" t="str">
        <f>IF($G$8="BR",'Grad 4'!$Y24,IF($G$8="QMC",'Grad 4'!$Y24,IF($G$8="HPC-D",'Grad 4'!$Y24,"")))</f>
        <v/>
      </c>
      <c r="G48" s="248" t="str">
        <f>IF($G$8="BR",'Grad 4'!$Y25,IF($G$8="QMC",'Grad 4'!$Y25,IF($G$8="HPC-D",'Grad 4'!$Y25,"")))</f>
        <v/>
      </c>
      <c r="H48" s="248" t="str">
        <f>IF($G$8="BR",'Grad 4'!$Y26,IF($G$8="QMC",'Grad 4'!$Y26,IF($G$8="HPC-D",'Grad 4'!$Y26,"")))</f>
        <v/>
      </c>
      <c r="I48" s="248" t="str">
        <f>IF($G$8="BR",'Grad 4'!$Y27,IF($G$8="QMC",'Grad 4'!$Y27,IF($G$8="HPC-D",'Grad 4'!$Y27,"")))</f>
        <v/>
      </c>
      <c r="J48" s="248" t="str">
        <f>IF($G$8="BR",'Grad 4'!$Y28,IF($G$8="QMC",'Grad 4'!$Y28,IF($G$8="HPC-D",'Grad 4'!$Y28,"")))</f>
        <v/>
      </c>
      <c r="K48" s="248" t="str">
        <f>IF($G$8="BR",'Grad 4'!$Y29,IF($G$8="QMC",'Grad 4'!$Y29,IF($G$8="HPC-D",'Grad 4'!$Y29,"")))</f>
        <v/>
      </c>
      <c r="L48" s="248" t="str">
        <f>IF($G$8="BR",'Grad 4'!$Y30,IF($G$8="QMC",'Grad 4'!$Y30,IF($G$8="HPC-D",'Grad 4'!$Y30,"")))</f>
        <v/>
      </c>
      <c r="M48" s="147" t="str">
        <f>IF('Grad 4'!Y22="","",IF(G$8="QMC",'Grad 4'!$AE$31," "))</f>
        <v xml:space="preserve"> </v>
      </c>
      <c r="N48" s="252" t="str">
        <f>IF($G$8="BR",'Grad 4'!$Y$32,IF($G$8="QMC",'Grad 4'!$Y$32,IF($G$8="HPC-D",'Grad 4'!$Y$32,"")))</f>
        <v/>
      </c>
      <c r="O48" s="252" t="str">
        <f>IF($G$8="BR",'Grad 4'!$Y$33,IF($G$8="QMC",'Grad 4'!$Y$33,IF($G$8="HPC-D",'Grad 4'!$Y$33,IF($G$8="C-SUD",'Grad 4'!$Y$33,""))))</f>
        <v/>
      </c>
      <c r="P48" s="159"/>
      <c r="R48" s="127"/>
      <c r="S48" s="95"/>
      <c r="T48"/>
      <c r="U48"/>
      <c r="V48"/>
      <c r="W48"/>
      <c r="X48"/>
      <c r="Y48"/>
      <c r="Z48" s="103"/>
      <c r="AC48" s="6"/>
      <c r="AD48" s="7"/>
    </row>
    <row r="49" spans="1:30" ht="35.1" customHeight="1">
      <c r="A49" s="254" t="str">
        <f>IF($G$8="BR",'Grad 5'!$Y19,IF($G$8="QMC",'Grad 5'!$Y19,IF($G$8="HPC-D",'Grad 5'!$Y19,"")))</f>
        <v/>
      </c>
      <c r="B49" s="254" t="str">
        <f>IF($G$8="BR",'Grad 5'!$Y20,IF($G$8="QMC",'Grad 5'!$Y20,IF($G$8="HPC-D",'Grad 5'!$Y20,"")))</f>
        <v/>
      </c>
      <c r="C49" s="254" t="str">
        <f>IF($G$8="BR",'Grad 5'!$Y21,IF($G$8="QMC",'Grad 5'!$Y21,IF($G$8="HPC-D",'Grad 5'!$Y21,"")))</f>
        <v/>
      </c>
      <c r="D49" s="254" t="str">
        <f>IF($G$8="BR",'Grad 5'!$Y22,IF($G$8="QMC",'Grad 5'!$Y22,IF($G$8="HPC-D",'Grad 5'!$Y22,"")))</f>
        <v/>
      </c>
      <c r="E49" s="254" t="str">
        <f>IF($G$8="BR",'Grad 5'!$Y23,IF($G$8="QMC",'Grad 5'!$Y23,IF($G$8="HPC-D",'Grad 5'!$Y23,"")))</f>
        <v/>
      </c>
      <c r="F49" s="254" t="str">
        <f>IF($G$8="BR",'Grad 5'!$Y24,IF($G$8="QMC",'Grad 5'!$Y24,IF($G$8="HPC-D",'Grad 5'!$Y24,"")))</f>
        <v/>
      </c>
      <c r="G49" s="248" t="str">
        <f>IF($G$8="BR",'Grad 5'!$Y25,IF($G$8="QMC",'Grad 5'!$Y25,IF($G$8="HPC-D",'Grad 5'!$Y25,"")))</f>
        <v/>
      </c>
      <c r="H49" s="248" t="str">
        <f>IF($G$8="BR",'Grad 5'!$Y26,IF($G$8="QMC",'Grad 5'!$Y26,IF($G$8="HPC-D",'Grad 5'!$Y26,"")))</f>
        <v/>
      </c>
      <c r="I49" s="248" t="str">
        <f>IF($G$8="BR",'Grad 5'!$Y27,IF($G$8="QMC",'Grad 5'!$Y27,IF($G$8="HPC-D",'Grad 5'!$Y27,"")))</f>
        <v/>
      </c>
      <c r="J49" s="248" t="str">
        <f>IF($G$8="BR",'Grad 5'!$Y28,IF($G$8="QMC",'Grad 5'!$Y28,IF($G$8="HPC-D",'Grad 5'!$Y28,"")))</f>
        <v/>
      </c>
      <c r="K49" s="248" t="str">
        <f>IF($G$8="BR",'Grad 5'!$Y29,IF($G$8="QMC",'Grad 5'!$Y29,IF($G$8="HPC-D",'Grad 5'!$Y29,"")))</f>
        <v/>
      </c>
      <c r="L49" s="248" t="str">
        <f>IF($G$8="BR",'Grad 5'!$Y30,IF($G$8="QMC",'Grad 5'!$Y30,IF($G$8="HPC-D",'Grad 5'!$Y30,"")))</f>
        <v/>
      </c>
      <c r="M49" s="147" t="str">
        <f>IF('Grad 5'!Y23="","",IF(G$8="QMC",'Grad 5'!$AE$31," "))</f>
        <v xml:space="preserve"> </v>
      </c>
      <c r="N49" s="252" t="str">
        <f>IF($G$8="BR",'Grad 5'!$Y$32,IF($G$8="QMC",'Grad 5'!$Y$32,IF($G$8="HPC-D",'Grad 5'!$Y$32,IF($G$8="C-SUD",'Grad 5'!$Y$32,""))))</f>
        <v/>
      </c>
      <c r="O49" s="252" t="str">
        <f>IF($G$8="BR",'Grad 5'!$Y$33,IF($G$8="QMC",'Grad 5'!$Y$33,IF($G$8="HPC-D",'Grad 5'!$Y$33,IF($G$8="C-SUD",'Grad 5'!$Y$33,""))))</f>
        <v/>
      </c>
      <c r="P49" s="159"/>
      <c r="R49" s="127"/>
      <c r="S49" s="95"/>
      <c r="T49"/>
      <c r="U49"/>
      <c r="V49"/>
      <c r="W49"/>
      <c r="X49"/>
      <c r="Y49"/>
      <c r="Z49" s="103"/>
      <c r="AC49" s="6"/>
      <c r="AD49" s="7"/>
    </row>
    <row r="50" spans="1:30" ht="35.1" hidden="1" customHeight="1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241"/>
      <c r="N50" s="252" t="str">
        <f>IF(M$57="","",M$57)</f>
        <v/>
      </c>
      <c r="O50" s="252" t="str">
        <f>IF(M$58="","",M$58)</f>
        <v/>
      </c>
      <c r="P50" s="159"/>
      <c r="R50" s="127"/>
      <c r="S50" s="95"/>
      <c r="T50"/>
      <c r="U50"/>
      <c r="V50"/>
      <c r="W50"/>
      <c r="X50"/>
      <c r="Y50"/>
      <c r="Z50" s="103"/>
      <c r="AC50" s="6"/>
      <c r="AD50" s="7"/>
    </row>
    <row r="51" spans="1:30" ht="35.1" hidden="1" customHeight="1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241"/>
      <c r="N51" s="252" t="str">
        <f>IF(N$57="","",N$57)</f>
        <v/>
      </c>
      <c r="O51" s="252" t="str">
        <f>IF(N$58="","",N$58)</f>
        <v/>
      </c>
      <c r="P51" s="159"/>
      <c r="R51" s="127"/>
      <c r="S51" s="95"/>
      <c r="T51"/>
      <c r="U51"/>
      <c r="V51"/>
      <c r="W51"/>
      <c r="X51"/>
      <c r="Y51"/>
      <c r="Z51" s="103"/>
      <c r="AC51" s="6"/>
      <c r="AD51" s="7"/>
    </row>
    <row r="52" spans="1:30" ht="35.1" hidden="1" customHeight="1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241"/>
      <c r="N52" s="252" t="str">
        <f>IF(O$57="","",O$57)</f>
        <v/>
      </c>
      <c r="O52" s="252" t="str">
        <f>IF(O$58="","",O$58)</f>
        <v/>
      </c>
      <c r="P52" s="159"/>
      <c r="R52" s="127"/>
      <c r="S52" s="95"/>
      <c r="T52"/>
      <c r="U52"/>
      <c r="V52"/>
      <c r="W52"/>
      <c r="X52"/>
      <c r="Y52"/>
      <c r="Z52" s="103"/>
      <c r="AC52" s="6"/>
      <c r="AD52" s="7"/>
    </row>
    <row r="53" spans="1:30" ht="35.1" hidden="1" customHeight="1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241"/>
      <c r="N53" s="252" t="str">
        <f>IF(P$57="","",P$57)</f>
        <v/>
      </c>
      <c r="O53" s="252" t="str">
        <f>IF(P$58="","",P$58)</f>
        <v/>
      </c>
      <c r="P53" s="159"/>
      <c r="R53" s="127"/>
      <c r="S53" s="95"/>
      <c r="T53"/>
      <c r="U53"/>
      <c r="V53"/>
      <c r="W53"/>
      <c r="X53"/>
      <c r="Y53"/>
      <c r="Z53" s="103"/>
      <c r="AC53" s="6"/>
      <c r="AD53" s="7"/>
    </row>
    <row r="54" spans="1:30" ht="35.1" customHeight="1">
      <c r="B54" s="127"/>
      <c r="C54" s="127"/>
      <c r="D54" s="144"/>
      <c r="E54" s="148"/>
      <c r="F54" s="148"/>
      <c r="G54" s="148"/>
      <c r="H54" s="148"/>
      <c r="I54" s="148"/>
      <c r="J54" s="318" t="s">
        <v>123</v>
      </c>
      <c r="K54" s="319"/>
      <c r="L54" s="319"/>
      <c r="M54" s="320"/>
      <c r="N54" s="249" t="str">
        <f>IF(N45&gt;0,AVERAGE(N45:N53),"")</f>
        <v/>
      </c>
      <c r="O54" s="249" t="str">
        <f>IF(N45&gt;0,AVERAGE(O45:O53),"")</f>
        <v/>
      </c>
      <c r="P54" s="132" t="str">
        <f>IF(N45="","",Q54)</f>
        <v/>
      </c>
      <c r="Q54" s="173" t="str">
        <f>IF(AND($N$54&lt;100,$N$54&gt;0,$O$54&gt;-0.140625*$N$54+50.06),"IV",IF(AND($N$54&lt;75,$N$54&gt;=45,$O$54&gt;-0.140625*$N$54+39.2,$O$54&lt;-0.140625*$N$54+50.06),"II",IF(AND($N$54&lt;45,$O$54&gt;-0.140625*$N$54+39.2,$O$54&lt;-0.140625*$N$54+50.06),"III",IF(AND($N$54&gt;75,$O$54&gt;-0.140625*$N$54+39.2,$O$54&lt;-0.140625*$N$54+50.06),"I",IF(AND($N$54&lt;72,$N$54&gt;45,$O$54&lt;-0.140625*$N$54+39.2),"V","O")))))</f>
        <v>O</v>
      </c>
      <c r="R54" s="127"/>
      <c r="S54" s="95"/>
      <c r="T54"/>
      <c r="U54"/>
      <c r="V54"/>
      <c r="W54"/>
      <c r="X54"/>
      <c r="Y54"/>
      <c r="Z54" s="103"/>
      <c r="AC54" s="6"/>
      <c r="AD54" s="7"/>
    </row>
    <row r="55" spans="1:30" ht="35.1" customHeight="1">
      <c r="B55" s="127"/>
      <c r="C55" s="127"/>
      <c r="D55" s="144"/>
      <c r="E55" s="148"/>
      <c r="F55" s="148"/>
      <c r="G55" s="148"/>
      <c r="H55" s="148"/>
      <c r="I55" s="148"/>
      <c r="J55" s="318" t="s">
        <v>124</v>
      </c>
      <c r="K55" s="293"/>
      <c r="L55" s="293"/>
      <c r="M55" s="293"/>
      <c r="N55" s="249" t="str">
        <f>IF('Proj Info'!B52="","",'Proj Info'!B52)</f>
        <v/>
      </c>
      <c r="O55" s="249" t="str">
        <f>IF('Proj Info'!B53="","",'Proj Info'!B53)</f>
        <v/>
      </c>
      <c r="P55" s="132" t="str">
        <f>IF('Proj Info'!B54="","",'Proj Info'!B54)</f>
        <v/>
      </c>
      <c r="Q55" s="149"/>
      <c r="R55" s="127"/>
      <c r="S55" s="95"/>
      <c r="T55"/>
      <c r="U55"/>
      <c r="V55"/>
      <c r="W55"/>
      <c r="X55"/>
      <c r="Y55"/>
      <c r="Z55" s="103"/>
      <c r="AC55" s="6"/>
      <c r="AD55" s="7"/>
    </row>
    <row r="56" spans="1:30" ht="35.1" customHeight="1">
      <c r="B56" s="127"/>
      <c r="C56" s="127"/>
      <c r="D56" s="144"/>
      <c r="E56" s="148"/>
      <c r="F56" s="148"/>
      <c r="G56" s="148"/>
      <c r="H56" s="148"/>
      <c r="I56" s="148"/>
      <c r="J56" s="148"/>
      <c r="K56" s="148"/>
      <c r="L56" s="242" t="s">
        <v>252</v>
      </c>
      <c r="M56" s="243"/>
      <c r="N56" s="243"/>
      <c r="O56" s="243"/>
      <c r="P56" s="243"/>
      <c r="Q56" s="149"/>
      <c r="R56" s="127"/>
      <c r="S56" s="95"/>
      <c r="T56"/>
      <c r="U56"/>
      <c r="V56"/>
      <c r="W56"/>
      <c r="X56"/>
      <c r="Y56"/>
      <c r="Z56" s="103"/>
      <c r="AC56" s="6"/>
      <c r="AD56" s="7"/>
    </row>
    <row r="57" spans="1:30" ht="35.1" customHeight="1">
      <c r="B57" s="127"/>
      <c r="C57" s="127"/>
      <c r="D57" s="144"/>
      <c r="E57" s="126"/>
      <c r="F57" s="126"/>
      <c r="G57" s="126"/>
      <c r="H57" s="126"/>
      <c r="J57" s="126"/>
      <c r="K57" s="244"/>
      <c r="L57" s="245" t="s">
        <v>253</v>
      </c>
      <c r="M57" s="255"/>
      <c r="N57" s="255"/>
      <c r="O57" s="255"/>
      <c r="P57" s="255"/>
      <c r="Q57" s="126"/>
      <c r="R57" s="127"/>
      <c r="S57" s="95"/>
      <c r="T57" s="95"/>
      <c r="Z57" s="103"/>
      <c r="AC57" s="6"/>
      <c r="AD57" s="7"/>
    </row>
    <row r="58" spans="1:30" ht="35.1" customHeight="1">
      <c r="K58" s="246"/>
      <c r="L58" s="245" t="s">
        <v>254</v>
      </c>
      <c r="M58" s="256"/>
      <c r="N58" s="256"/>
      <c r="O58" s="256"/>
      <c r="P58" s="256"/>
      <c r="Q58" s="126"/>
      <c r="R58" s="126"/>
      <c r="S58" s="103"/>
      <c r="T58" s="103"/>
      <c r="U58" s="103"/>
      <c r="V58" s="103"/>
      <c r="W58" s="103"/>
      <c r="X58" s="103"/>
      <c r="Y58" s="103"/>
      <c r="Z58" s="103"/>
      <c r="AC58" s="6"/>
      <c r="AD58" s="7"/>
    </row>
    <row r="59" spans="1:30" ht="35.1" customHeight="1">
      <c r="B59" s="152" t="s">
        <v>28</v>
      </c>
      <c r="C59" s="312"/>
      <c r="D59" s="313"/>
      <c r="E59" s="313"/>
      <c r="F59" s="313"/>
      <c r="G59" s="313"/>
      <c r="H59" s="313"/>
      <c r="I59" s="313"/>
      <c r="J59" s="313"/>
      <c r="K59" s="313"/>
      <c r="L59" s="313"/>
      <c r="M59" s="313"/>
      <c r="N59" s="314"/>
      <c r="O59" s="314"/>
      <c r="P59" s="315"/>
      <c r="Q59" s="126"/>
      <c r="R59" s="126"/>
      <c r="S59" s="103"/>
      <c r="T59" s="103"/>
      <c r="U59" s="103"/>
      <c r="V59" s="103"/>
      <c r="W59" s="103"/>
      <c r="X59" s="103"/>
      <c r="Y59" s="103"/>
      <c r="Z59" s="103"/>
      <c r="AC59" s="6"/>
      <c r="AD59" s="7"/>
    </row>
    <row r="60" spans="1:30" ht="35.1" customHeight="1">
      <c r="B60" s="127"/>
      <c r="C60" s="240"/>
      <c r="D60" s="237"/>
      <c r="E60" s="237"/>
      <c r="F60" s="237"/>
      <c r="G60" s="237"/>
      <c r="H60" s="237"/>
      <c r="I60" s="237"/>
      <c r="J60" s="237"/>
      <c r="K60" s="237"/>
      <c r="L60" s="237"/>
      <c r="M60" s="237"/>
      <c r="N60" s="238"/>
      <c r="O60" s="238"/>
      <c r="P60" s="239"/>
      <c r="Q60" s="150"/>
      <c r="R60" s="126"/>
      <c r="S60" s="103"/>
      <c r="T60" s="103"/>
      <c r="U60" s="103"/>
      <c r="V60" s="103"/>
      <c r="W60" s="103"/>
      <c r="X60" s="103"/>
      <c r="Y60" s="103"/>
      <c r="Z60" s="103"/>
      <c r="AA60" s="6"/>
      <c r="AB60" s="6"/>
      <c r="AC60" s="6"/>
      <c r="AD60" s="7"/>
    </row>
    <row r="61" spans="1:30" ht="35.1" customHeight="1">
      <c r="A61" s="97" t="s">
        <v>135</v>
      </c>
      <c r="B61" s="97"/>
      <c r="C61" s="97"/>
      <c r="D61" s="97"/>
      <c r="E61" s="97"/>
      <c r="F61" s="97"/>
      <c r="G61" s="97"/>
      <c r="H61" s="115"/>
      <c r="I61" s="115"/>
      <c r="J61" s="102" t="s">
        <v>29</v>
      </c>
      <c r="K61" s="113" t="str">
        <f>IF('Proj Info'!B31="","",('Proj Info'!B31))</f>
        <v/>
      </c>
      <c r="L61" s="113"/>
      <c r="M61" s="113"/>
      <c r="N61" s="113"/>
      <c r="O61" s="102" t="s">
        <v>211</v>
      </c>
      <c r="P61" s="112" t="str">
        <f>IF('Proj Info'!B32="","",('Proj Info'!B32))</f>
        <v/>
      </c>
      <c r="U61" s="97"/>
      <c r="Z61" s="97"/>
      <c r="AA61" s="6"/>
      <c r="AB61" s="6"/>
      <c r="AC61" s="6"/>
      <c r="AD61" s="7"/>
    </row>
    <row r="62" spans="1:30" ht="21.95" customHeight="1">
      <c r="O62" s="6"/>
      <c r="P62" s="6"/>
      <c r="Q62" s="6"/>
      <c r="Z62" s="6"/>
      <c r="AA62" s="6"/>
      <c r="AB62" s="6"/>
      <c r="AC62" s="6"/>
      <c r="AD62" s="7"/>
    </row>
    <row r="63" spans="1:30" ht="21.95" customHeight="1">
      <c r="O63" s="6"/>
      <c r="P63" s="6"/>
      <c r="Q63" s="6"/>
      <c r="Z63" s="6"/>
      <c r="AA63" s="6"/>
      <c r="AB63" s="6"/>
      <c r="AC63" s="6"/>
      <c r="AD63" s="7"/>
    </row>
    <row r="64" spans="1:30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4:29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4:29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4:29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4:29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4:29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4:29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4:29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4:29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4:29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4:29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4:29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4:29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4:29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4:29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4:29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4:29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4:29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4:29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4:29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4:29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4:29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4:29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4:29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4:29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4:29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4:29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4:29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4:29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4:29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4:29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4:29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4:29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4:29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4:29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4:29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4:29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4:29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4:29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4:29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4:29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4:29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4:29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4:29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4:29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4:29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4:29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4:29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4:29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4:29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4:29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4:29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4:29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4:29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4:29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4:29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4:29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4:29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4:29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4:29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4:29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4:29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4:29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4:29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4:29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4:29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4:29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4:29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4:29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4:29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4:29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4:29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4:29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4:29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4:29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4:29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4:29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4:29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4:29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4:29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4:29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4:29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4:29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4:29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4:29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4:29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4:29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4:29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4:29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4:29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4:29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4:29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4:29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4:29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4:29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4:29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4:29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4:29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4:29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4:29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4:29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4:29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4:29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4:29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4:29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4:29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4:29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4:29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4:29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4:29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4:29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4:29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4:29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4:29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4:29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4:29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4:29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4:29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4:29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4:29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4:29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4:29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4:29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4:29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4:29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4:29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4:29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4:29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4:29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4:29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4:29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4:29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4:29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4:29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4:29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4:29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4:29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4:29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4:29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4:29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4:29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4:29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4:29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4:29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4:29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4:29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4:29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4:29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4:29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4:29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4:29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4:29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4:29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4:29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4:29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4:29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4:29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4:29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4:29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4:29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4:29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4:29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4:29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4:29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4:29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4:29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4:29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4:29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4:29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4:29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4:29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4:29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4:29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4:29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4:29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4:29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4:29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4:29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4:29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4:29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4:29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4:29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4:29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4:29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4:29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4:29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4:29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4:29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4:29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4:29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4:29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4:29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4:29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4:29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4:29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4:29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4:29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4:29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4:29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4:29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4:29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4:29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4:29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4:29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4:29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4:29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4:29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4:29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4:29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4:29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4:29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4:29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4:29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4:29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4:29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4:29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4:29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4:29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4:29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4:29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4:29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4:29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4:29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4:29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4:29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4:29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4:29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4:29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4:29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4:29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4:29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4:29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4:29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4:29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4:29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4:29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4:29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4:29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4:29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4:29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4:29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4:29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4:29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4:29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4:29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4:29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4:29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4:29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4:29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4:29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4:29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4:29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4:29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4:29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4:29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4:29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4:29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4:29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4:29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4:29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4:29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4:29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4:29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4:29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4:29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4:29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4:29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4:29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4:29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4:29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4:29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4:29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4:29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4:29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4:29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4:29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4:29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4:29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4:29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4:29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4:29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4:29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4:29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4:29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4:29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4:29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4:29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4:29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4:29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4:29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4:29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4:29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4:29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4:29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4:29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4:29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4:29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4:29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4:29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4:29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4:29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4:29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4:29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4:29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4:29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4:29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4:29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Y370" s="1"/>
      <c r="Z370" s="1"/>
      <c r="AA370" s="1"/>
      <c r="AB370" s="1"/>
    </row>
    <row r="371" spans="4:29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Y371" s="1"/>
      <c r="Z371" s="1"/>
      <c r="AA371" s="1"/>
      <c r="AB371" s="1"/>
    </row>
    <row r="372" spans="4:29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Y372" s="1"/>
      <c r="Z372" s="1"/>
      <c r="AA372" s="1"/>
      <c r="AB372" s="1"/>
    </row>
  </sheetData>
  <sheetProtection algorithmName="SHA-512" hashValue="Tkyrd0ISrssN2WVp5t5B/TonNwxWAufGTNLOLwOrhnDyqhEmIjCbeSsmrWpd3eRUjCsLyb067HzJldC6uR8lAw==" saltValue="dGtPR7PxPoIhobzx2+L/lQ==" spinCount="100000" sheet="1"/>
  <mergeCells count="30">
    <mergeCell ref="O42:O44"/>
    <mergeCell ref="P42:P44"/>
    <mergeCell ref="C59:P59"/>
    <mergeCell ref="N42:N44"/>
    <mergeCell ref="J54:M54"/>
    <mergeCell ref="J55:M55"/>
    <mergeCell ref="E27:F27"/>
    <mergeCell ref="Y10:Z10"/>
    <mergeCell ref="A12:F12"/>
    <mergeCell ref="E4:J4"/>
    <mergeCell ref="A32:F32"/>
    <mergeCell ref="A22:F22"/>
    <mergeCell ref="L9:M9"/>
    <mergeCell ref="E14:F14"/>
    <mergeCell ref="E15:F15"/>
    <mergeCell ref="E16:F16"/>
    <mergeCell ref="E17:F17"/>
    <mergeCell ref="E18:F18"/>
    <mergeCell ref="E19:F19"/>
    <mergeCell ref="E25:F25"/>
    <mergeCell ref="E24:F24"/>
    <mergeCell ref="E26:F26"/>
    <mergeCell ref="E38:F38"/>
    <mergeCell ref="E39:F39"/>
    <mergeCell ref="E28:F28"/>
    <mergeCell ref="E29:F29"/>
    <mergeCell ref="E34:F34"/>
    <mergeCell ref="E35:F35"/>
    <mergeCell ref="E36:F36"/>
    <mergeCell ref="E37:F37"/>
  </mergeCells>
  <phoneticPr fontId="0" type="noConversion"/>
  <pageMargins left="7.0000000000000007E-2" right="0.5" top="0.25" bottom="0.25" header="0.25" footer="0.25"/>
  <pageSetup scale="38" orientation="portrait" verticalDpi="300" r:id="rId1"/>
  <headerFooter alignWithMargins="0"/>
  <colBreaks count="1" manualBreakCount="1">
    <brk id="2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2"/>
  <sheetViews>
    <sheetView topLeftCell="A25" workbookViewId="0">
      <selection activeCell="B4" sqref="B4"/>
    </sheetView>
  </sheetViews>
  <sheetFormatPr defaultRowHeight="15"/>
  <sheetData>
    <row r="1" spans="1:3">
      <c r="A1" t="s">
        <v>214</v>
      </c>
    </row>
    <row r="2" spans="1:3">
      <c r="A2" s="213"/>
      <c r="B2" s="214"/>
      <c r="C2" s="215"/>
    </row>
    <row r="3" spans="1:3">
      <c r="A3" s="216">
        <v>36</v>
      </c>
      <c r="B3" s="216">
        <v>45</v>
      </c>
      <c r="C3" s="216"/>
    </row>
    <row r="4" spans="1:3">
      <c r="A4" s="216">
        <v>100</v>
      </c>
      <c r="B4" s="216">
        <v>36</v>
      </c>
      <c r="C4" s="216"/>
    </row>
    <row r="5" spans="1:3">
      <c r="A5" s="216">
        <v>45</v>
      </c>
      <c r="B5" s="216">
        <v>38.6</v>
      </c>
      <c r="C5" s="216"/>
    </row>
    <row r="6" spans="1:3">
      <c r="A6" s="216">
        <v>72</v>
      </c>
      <c r="B6" s="216">
        <v>34.805</v>
      </c>
      <c r="C6" s="216"/>
    </row>
    <row r="7" spans="1:3">
      <c r="A7" s="216">
        <v>45</v>
      </c>
      <c r="B7" s="216">
        <v>37.1</v>
      </c>
      <c r="C7" s="216"/>
    </row>
    <row r="8" spans="1:3">
      <c r="A8" s="216">
        <v>75</v>
      </c>
      <c r="B8" s="216">
        <v>32.880000000000003</v>
      </c>
      <c r="C8" s="216"/>
    </row>
    <row r="9" spans="1:3">
      <c r="A9" s="216">
        <v>45</v>
      </c>
      <c r="B9" s="216">
        <v>34.9</v>
      </c>
      <c r="C9" s="216"/>
    </row>
    <row r="10" spans="1:3">
      <c r="A10" s="216">
        <v>72</v>
      </c>
      <c r="B10" s="216">
        <v>31.105</v>
      </c>
      <c r="C10" s="216"/>
    </row>
    <row r="11" spans="1:3">
      <c r="A11" s="216">
        <v>45</v>
      </c>
      <c r="B11" s="216">
        <v>33.6</v>
      </c>
      <c r="C11" s="216"/>
    </row>
    <row r="12" spans="1:3">
      <c r="A12" s="216">
        <v>72</v>
      </c>
      <c r="B12" s="216">
        <v>29.805</v>
      </c>
      <c r="C12" s="216"/>
    </row>
    <row r="13" spans="1:3">
      <c r="A13" s="216">
        <v>0</v>
      </c>
      <c r="B13" s="216">
        <v>37.1</v>
      </c>
      <c r="C13" s="216">
        <f t="shared" ref="C13:C20" si="0">B13-2</f>
        <v>35.1</v>
      </c>
    </row>
    <row r="14" spans="1:3">
      <c r="A14" s="216">
        <v>10</v>
      </c>
      <c r="B14" s="216">
        <v>37.1</v>
      </c>
      <c r="C14" s="216">
        <f t="shared" si="0"/>
        <v>35.1</v>
      </c>
    </row>
    <row r="15" spans="1:3">
      <c r="A15" s="216">
        <v>20</v>
      </c>
      <c r="B15" s="216">
        <v>36.5</v>
      </c>
      <c r="C15" s="216">
        <f t="shared" si="0"/>
        <v>34.5</v>
      </c>
    </row>
    <row r="16" spans="1:3">
      <c r="A16" s="216">
        <v>30</v>
      </c>
      <c r="B16" s="216">
        <v>34.950000000000003</v>
      </c>
      <c r="C16" s="216">
        <f t="shared" si="0"/>
        <v>32.950000000000003</v>
      </c>
    </row>
    <row r="17" spans="1:3">
      <c r="A17" s="216">
        <v>75</v>
      </c>
      <c r="B17" s="216">
        <v>28.65</v>
      </c>
      <c r="C17" s="216">
        <f t="shared" si="0"/>
        <v>26.65</v>
      </c>
    </row>
    <row r="18" spans="1:3">
      <c r="A18" s="216">
        <v>81.349999999999994</v>
      </c>
      <c r="B18" s="216">
        <v>27.43</v>
      </c>
      <c r="C18" s="216">
        <f t="shared" si="0"/>
        <v>25.43</v>
      </c>
    </row>
    <row r="19" spans="1:3">
      <c r="A19" s="216">
        <v>90</v>
      </c>
      <c r="B19" s="216">
        <v>27</v>
      </c>
      <c r="C19" s="216">
        <f t="shared" si="0"/>
        <v>25</v>
      </c>
    </row>
    <row r="20" spans="1:3">
      <c r="A20" s="216">
        <v>100</v>
      </c>
      <c r="B20" s="216">
        <v>27</v>
      </c>
      <c r="C20" s="216">
        <f t="shared" si="0"/>
        <v>25</v>
      </c>
    </row>
    <row r="21" spans="1:3">
      <c r="A21">
        <v>45</v>
      </c>
      <c r="B21">
        <v>40.31</v>
      </c>
    </row>
    <row r="22" spans="1:3">
      <c r="A22">
        <v>72</v>
      </c>
      <c r="B22">
        <v>36.515000000000001</v>
      </c>
    </row>
    <row r="23" spans="1:3">
      <c r="A23">
        <v>45</v>
      </c>
      <c r="B23">
        <v>42.02</v>
      </c>
    </row>
    <row r="24" spans="1:3">
      <c r="A24">
        <v>72</v>
      </c>
      <c r="B24">
        <v>38.225000000000001</v>
      </c>
    </row>
    <row r="25" spans="1:3">
      <c r="A25">
        <v>72</v>
      </c>
      <c r="B25">
        <v>29.8</v>
      </c>
    </row>
    <row r="26" spans="1:3">
      <c r="A26">
        <v>72</v>
      </c>
      <c r="B26">
        <v>38.200000000000003</v>
      </c>
    </row>
    <row r="27" spans="1:3">
      <c r="A27">
        <v>75</v>
      </c>
      <c r="B27">
        <v>26.65</v>
      </c>
    </row>
    <row r="28" spans="1:3">
      <c r="A28">
        <v>75</v>
      </c>
      <c r="B28">
        <v>39.51</v>
      </c>
    </row>
    <row r="29" spans="1:3">
      <c r="A29">
        <v>45</v>
      </c>
      <c r="B29">
        <f>A29*-0.140625+50.06</f>
        <v>43.731875000000002</v>
      </c>
    </row>
    <row r="30" spans="1:3">
      <c r="A30">
        <v>45</v>
      </c>
      <c r="B30">
        <f>A30*-0.140625+37.2</f>
        <v>30.871875000000003</v>
      </c>
    </row>
    <row r="31" spans="1:3">
      <c r="A31">
        <v>45</v>
      </c>
      <c r="B31">
        <v>40.31</v>
      </c>
    </row>
    <row r="32" spans="1:3">
      <c r="A32">
        <v>72</v>
      </c>
      <c r="B32">
        <v>36.515000000000001</v>
      </c>
    </row>
    <row r="33" spans="1:2">
      <c r="A33">
        <v>45</v>
      </c>
      <c r="B33">
        <v>42.02</v>
      </c>
    </row>
    <row r="34" spans="1:2">
      <c r="A34">
        <v>72</v>
      </c>
      <c r="B34">
        <v>38.200000000000003</v>
      </c>
    </row>
    <row r="35" spans="1:2">
      <c r="A35">
        <v>72</v>
      </c>
      <c r="B35">
        <v>29.8</v>
      </c>
    </row>
    <row r="36" spans="1:2">
      <c r="A36">
        <v>72</v>
      </c>
      <c r="B36">
        <v>39.93</v>
      </c>
    </row>
    <row r="37" spans="1:2">
      <c r="A37">
        <v>75</v>
      </c>
      <c r="B37">
        <v>28.15</v>
      </c>
    </row>
    <row r="38" spans="1:2">
      <c r="A38">
        <v>75</v>
      </c>
      <c r="B38">
        <v>39.51</v>
      </c>
    </row>
    <row r="39" spans="1:2">
      <c r="A39">
        <v>45</v>
      </c>
      <c r="B39">
        <f>A39*-0.140625+50.06</f>
        <v>43.731875000000002</v>
      </c>
    </row>
    <row r="40" spans="1:2">
      <c r="A40">
        <v>45</v>
      </c>
      <c r="B40">
        <v>32.5</v>
      </c>
    </row>
    <row r="41" spans="1:2">
      <c r="A41">
        <v>30</v>
      </c>
      <c r="B41">
        <v>34.5</v>
      </c>
    </row>
    <row r="42" spans="1:2">
      <c r="A42">
        <v>80</v>
      </c>
      <c r="B42">
        <v>27.5</v>
      </c>
    </row>
  </sheetData>
  <sheetProtection password="D8FF" sheet="1" objects="1" scenarios="1"/>
  <phoneticPr fontId="4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Proj Info</vt:lpstr>
      <vt:lpstr>Mix Info</vt:lpstr>
      <vt:lpstr>Grad 1</vt:lpstr>
      <vt:lpstr>Grad 2</vt:lpstr>
      <vt:lpstr>Grad 3</vt:lpstr>
      <vt:lpstr>Grad 4</vt:lpstr>
      <vt:lpstr>Grad 5</vt:lpstr>
      <vt:lpstr>Gradation Report</vt:lpstr>
      <vt:lpstr>Gradation</vt:lpstr>
      <vt:lpstr>CW</vt:lpstr>
      <vt:lpstr>'Grad 1'!Print_Area</vt:lpstr>
      <vt:lpstr>'Grad 2'!Print_Area</vt:lpstr>
      <vt:lpstr>'Grad 3'!Print_Area</vt:lpstr>
      <vt:lpstr>'Grad 4'!Print_Area</vt:lpstr>
      <vt:lpstr>'Grad 5'!Print_Area</vt:lpstr>
      <vt:lpstr>'Gradation Report'!Print_Area</vt:lpstr>
      <vt:lpstr>'Proj Info'!Print_Area</vt:lpstr>
    </vt:vector>
  </TitlesOfParts>
  <Company>IA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Hart</dc:creator>
  <cp:lastModifiedBy>Hanson, Todd</cp:lastModifiedBy>
  <cp:lastPrinted>2007-08-28T19:38:35Z</cp:lastPrinted>
  <dcterms:created xsi:type="dcterms:W3CDTF">2000-02-28T16:48:30Z</dcterms:created>
  <dcterms:modified xsi:type="dcterms:W3CDTF">2020-06-19T14:17:54Z</dcterms:modified>
</cp:coreProperties>
</file>