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adot-my.sharepoint.com/personal/rhonda_pecenka_iowadot_us/Documents/Attachments/"/>
    </mc:Choice>
  </mc:AlternateContent>
  <xr:revisionPtr revIDLastSave="0" documentId="8_{B78AE549-9D97-471A-ACA6-EA3B87B70386}" xr6:coauthVersionLast="44" xr6:coauthVersionMax="44" xr10:uidLastSave="{00000000-0000-0000-0000-000000000000}"/>
  <bookViews>
    <workbookView xWindow="780" yWindow="1320" windowWidth="18720" windowHeight="7875" xr2:uid="{B9AF95E0-A8B5-4AF6-89CB-9BAD955C89F8}"/>
  </bookViews>
  <sheets>
    <sheet name="IM216QMA" sheetId="1" r:id="rId1"/>
    <sheet name="Test1" sheetId="2" r:id="rId2"/>
    <sheet name="Test2" sheetId="3" r:id="rId3"/>
    <sheet name="Test3" sheetId="4" r:id="rId4"/>
    <sheet name="Test4" sheetId="5" r:id="rId5"/>
    <sheet name="Correction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9" i="1" l="1"/>
  <c r="D24" i="1"/>
  <c r="C31" i="1"/>
  <c r="B31" i="1"/>
  <c r="K33" i="1" l="1"/>
  <c r="E27" i="1"/>
  <c r="F27" i="1"/>
  <c r="G27" i="1"/>
  <c r="H27" i="1"/>
  <c r="I27" i="1"/>
  <c r="J27" i="1"/>
  <c r="K27" i="1"/>
  <c r="L27" i="1"/>
  <c r="M27" i="1"/>
  <c r="N27" i="1"/>
  <c r="O27" i="1"/>
  <c r="D27" i="1"/>
  <c r="C34" i="6"/>
  <c r="C33" i="6"/>
  <c r="C26" i="6"/>
  <c r="C25" i="6"/>
  <c r="C18" i="6"/>
  <c r="C17" i="6"/>
  <c r="C10" i="6"/>
  <c r="C9" i="6"/>
  <c r="Q110" i="5"/>
  <c r="Q109" i="5"/>
  <c r="Q108" i="5"/>
  <c r="E108" i="5"/>
  <c r="E109" i="5" s="1"/>
  <c r="D108" i="5"/>
  <c r="D109" i="5" s="1"/>
  <c r="Q107" i="5"/>
  <c r="E107" i="5"/>
  <c r="Q106" i="5"/>
  <c r="F106" i="5"/>
  <c r="F108" i="5" s="1"/>
  <c r="G94" i="5" s="1"/>
  <c r="Q105" i="5"/>
  <c r="F105" i="5"/>
  <c r="C105" i="5"/>
  <c r="Q104" i="5"/>
  <c r="F104" i="5"/>
  <c r="C104" i="5"/>
  <c r="Q103" i="5"/>
  <c r="F103" i="5"/>
  <c r="C103" i="5"/>
  <c r="Q102" i="5"/>
  <c r="F102" i="5"/>
  <c r="C102" i="5"/>
  <c r="Q101" i="5"/>
  <c r="F101" i="5"/>
  <c r="Q100" i="5"/>
  <c r="F100" i="5"/>
  <c r="Q99" i="5"/>
  <c r="F99" i="5"/>
  <c r="Q98" i="5"/>
  <c r="Q111" i="5" s="1"/>
  <c r="F98" i="5"/>
  <c r="F97" i="5"/>
  <c r="F96" i="5"/>
  <c r="F95" i="5"/>
  <c r="F94" i="5"/>
  <c r="E91" i="5"/>
  <c r="R88" i="5"/>
  <c r="Q86" i="5"/>
  <c r="Q85" i="5"/>
  <c r="D57" i="5"/>
  <c r="D58" i="5" s="1"/>
  <c r="Q56" i="5"/>
  <c r="E56" i="5"/>
  <c r="R55" i="5"/>
  <c r="Q55" i="5"/>
  <c r="E55" i="5"/>
  <c r="F55" i="5" s="1"/>
  <c r="F57" i="5" s="1"/>
  <c r="G43" i="5" s="1"/>
  <c r="E54" i="5"/>
  <c r="C54" i="5"/>
  <c r="Q53" i="5"/>
  <c r="F53" i="5"/>
  <c r="E53" i="5"/>
  <c r="C53" i="5"/>
  <c r="E52" i="5"/>
  <c r="C52" i="5"/>
  <c r="Q51" i="5"/>
  <c r="F51" i="5"/>
  <c r="E51" i="5"/>
  <c r="C51" i="5"/>
  <c r="E50" i="5"/>
  <c r="E49" i="5"/>
  <c r="Q48" i="5"/>
  <c r="R48" i="5" s="1"/>
  <c r="S48" i="5" s="1"/>
  <c r="T48" i="5" s="1"/>
  <c r="U48" i="5" s="1"/>
  <c r="V48" i="5" s="1"/>
  <c r="W48" i="5" s="1"/>
  <c r="F48" i="5"/>
  <c r="Q47" i="5"/>
  <c r="R47" i="5" s="1"/>
  <c r="S47" i="5" s="1"/>
  <c r="T47" i="5" s="1"/>
  <c r="U47" i="5" s="1"/>
  <c r="V47" i="5" s="1"/>
  <c r="W47" i="5" s="1"/>
  <c r="F47" i="5"/>
  <c r="T46" i="5"/>
  <c r="U46" i="5" s="1"/>
  <c r="V46" i="5" s="1"/>
  <c r="W46" i="5" s="1"/>
  <c r="S46" i="5"/>
  <c r="Q46" i="5"/>
  <c r="F46" i="5"/>
  <c r="Q45" i="5"/>
  <c r="F45" i="5"/>
  <c r="W44" i="5"/>
  <c r="Q44" i="5"/>
  <c r="R44" i="5" s="1"/>
  <c r="S44" i="5" s="1"/>
  <c r="T44" i="5" s="1"/>
  <c r="U44" i="5" s="1"/>
  <c r="V44" i="5" s="1"/>
  <c r="F44" i="5"/>
  <c r="Q43" i="5"/>
  <c r="F43" i="5"/>
  <c r="E40" i="5"/>
  <c r="Q39" i="5"/>
  <c r="R35" i="5"/>
  <c r="Q35" i="5"/>
  <c r="R34" i="5"/>
  <c r="Q34" i="5"/>
  <c r="R33" i="5"/>
  <c r="R32" i="5"/>
  <c r="Q32" i="5"/>
  <c r="R31" i="5"/>
  <c r="R30" i="5"/>
  <c r="R46" i="5" s="1"/>
  <c r="Q29" i="5"/>
  <c r="Q28" i="5"/>
  <c r="Q40" i="5" s="1"/>
  <c r="C24" i="5"/>
  <c r="C23" i="5"/>
  <c r="B23" i="5"/>
  <c r="B24" i="5" s="1"/>
  <c r="C22" i="5"/>
  <c r="O21" i="5"/>
  <c r="D21" i="5"/>
  <c r="D23" i="5" s="1"/>
  <c r="AB20" i="5"/>
  <c r="AD20" i="5" s="1"/>
  <c r="Y20" i="5"/>
  <c r="O20" i="5"/>
  <c r="J20" i="5"/>
  <c r="D20" i="5"/>
  <c r="A20" i="5"/>
  <c r="AB19" i="5"/>
  <c r="AD19" i="5" s="1"/>
  <c r="Y19" i="5"/>
  <c r="O19" i="5"/>
  <c r="J19" i="5"/>
  <c r="D19" i="5"/>
  <c r="A19" i="5"/>
  <c r="AB18" i="5"/>
  <c r="AD18" i="5" s="1"/>
  <c r="Y18" i="5"/>
  <c r="O18" i="5"/>
  <c r="P18" i="5" s="1"/>
  <c r="Q18" i="5" s="1"/>
  <c r="J18" i="5"/>
  <c r="D18" i="5"/>
  <c r="A18" i="5"/>
  <c r="Y17" i="5"/>
  <c r="P17" i="5"/>
  <c r="O17" i="5"/>
  <c r="J17" i="5"/>
  <c r="AB17" i="5" s="1"/>
  <c r="AD17" i="5" s="1"/>
  <c r="D17" i="5"/>
  <c r="A17" i="5"/>
  <c r="Y16" i="5"/>
  <c r="O16" i="5"/>
  <c r="P16" i="5" s="1"/>
  <c r="J16" i="5"/>
  <c r="AB16" i="5" s="1"/>
  <c r="AD16" i="5" s="1"/>
  <c r="D16" i="5"/>
  <c r="A16" i="5"/>
  <c r="AB15" i="5"/>
  <c r="AD15" i="5" s="1"/>
  <c r="Y15" i="5"/>
  <c r="O15" i="5"/>
  <c r="P15" i="5" s="1"/>
  <c r="J15" i="5"/>
  <c r="D15" i="5"/>
  <c r="A15" i="5"/>
  <c r="Y14" i="5"/>
  <c r="P14" i="5"/>
  <c r="O14" i="5"/>
  <c r="J14" i="5"/>
  <c r="AB14" i="5" s="1"/>
  <c r="AD14" i="5" s="1"/>
  <c r="D14" i="5"/>
  <c r="A14" i="5"/>
  <c r="Y13" i="5"/>
  <c r="O13" i="5"/>
  <c r="L13" i="5"/>
  <c r="J13" i="5"/>
  <c r="AB13" i="5" s="1"/>
  <c r="AD13" i="5" s="1"/>
  <c r="D13" i="5"/>
  <c r="A13" i="5"/>
  <c r="Y12" i="5"/>
  <c r="P12" i="5"/>
  <c r="Q12" i="5" s="1"/>
  <c r="O12" i="5"/>
  <c r="L12" i="5"/>
  <c r="P20" i="5" s="1"/>
  <c r="J12" i="5"/>
  <c r="AB12" i="5" s="1"/>
  <c r="AD12" i="5" s="1"/>
  <c r="D12" i="5"/>
  <c r="A12" i="5"/>
  <c r="AB11" i="5"/>
  <c r="AD11" i="5" s="1"/>
  <c r="Y11" i="5"/>
  <c r="O11" i="5"/>
  <c r="P11" i="5" s="1"/>
  <c r="J11" i="5"/>
  <c r="D11" i="5"/>
  <c r="A11" i="5"/>
  <c r="Y10" i="5"/>
  <c r="P10" i="5"/>
  <c r="O10" i="5"/>
  <c r="J10" i="5"/>
  <c r="AB10" i="5" s="1"/>
  <c r="AD10" i="5" s="1"/>
  <c r="E10" i="5"/>
  <c r="D10" i="5"/>
  <c r="A10" i="5"/>
  <c r="Y9" i="5"/>
  <c r="O9" i="5"/>
  <c r="J9" i="5"/>
  <c r="AB9" i="5" s="1"/>
  <c r="AD9" i="5" s="1"/>
  <c r="H9" i="5"/>
  <c r="E34" i="6" s="1"/>
  <c r="E35" i="6" s="1"/>
  <c r="E9" i="5"/>
  <c r="F9" i="5" s="1"/>
  <c r="D9" i="5"/>
  <c r="A9" i="5"/>
  <c r="B8" i="5"/>
  <c r="C6" i="5"/>
  <c r="I5" i="5"/>
  <c r="A5" i="5"/>
  <c r="AC4" i="5"/>
  <c r="AB4" i="5"/>
  <c r="AA4" i="5"/>
  <c r="Y4" i="5"/>
  <c r="F4" i="5"/>
  <c r="A4" i="5"/>
  <c r="AE3" i="5"/>
  <c r="AB3" i="5" s="1"/>
  <c r="AD3" i="5"/>
  <c r="AC3" i="5"/>
  <c r="AA3" i="5"/>
  <c r="Y3" i="5"/>
  <c r="Y5" i="5" s="1"/>
  <c r="I3" i="5"/>
  <c r="AA2" i="5"/>
  <c r="Y2" i="5"/>
  <c r="Q110" i="4"/>
  <c r="R110" i="4" s="1"/>
  <c r="Q109" i="4"/>
  <c r="R109" i="4" s="1"/>
  <c r="E109" i="4"/>
  <c r="Q108" i="4"/>
  <c r="R108" i="4" s="1"/>
  <c r="E108" i="4"/>
  <c r="D108" i="4"/>
  <c r="D109" i="4" s="1"/>
  <c r="Q107" i="4"/>
  <c r="R107" i="4" s="1"/>
  <c r="E107" i="4"/>
  <c r="Q106" i="4"/>
  <c r="R106" i="4" s="1"/>
  <c r="F106" i="4"/>
  <c r="F108" i="4" s="1"/>
  <c r="G94" i="4" s="1"/>
  <c r="Q105" i="4"/>
  <c r="R105" i="4" s="1"/>
  <c r="F105" i="4"/>
  <c r="C105" i="4"/>
  <c r="R104" i="4"/>
  <c r="Q104" i="4"/>
  <c r="F104" i="4"/>
  <c r="C104" i="4"/>
  <c r="R103" i="4"/>
  <c r="Q103" i="4"/>
  <c r="F103" i="4"/>
  <c r="C103" i="4"/>
  <c r="Q102" i="4"/>
  <c r="F102" i="4"/>
  <c r="C102" i="4"/>
  <c r="Q101" i="4"/>
  <c r="R101" i="4" s="1"/>
  <c r="F101" i="4"/>
  <c r="Q100" i="4"/>
  <c r="R100" i="4" s="1"/>
  <c r="F100" i="4"/>
  <c r="Q99" i="4"/>
  <c r="R90" i="4" s="1"/>
  <c r="F99" i="4"/>
  <c r="Q98" i="4"/>
  <c r="Q111" i="4" s="1"/>
  <c r="Q88" i="4" s="1"/>
  <c r="F98" i="4"/>
  <c r="F97" i="4"/>
  <c r="F96" i="4"/>
  <c r="F95" i="4"/>
  <c r="F94" i="4"/>
  <c r="Q93" i="4"/>
  <c r="Q91" i="4"/>
  <c r="E91" i="4"/>
  <c r="R89" i="4"/>
  <c r="R88" i="4"/>
  <c r="R87" i="4"/>
  <c r="S85" i="4"/>
  <c r="R85" i="4"/>
  <c r="Q83" i="4"/>
  <c r="Q95" i="4" s="1"/>
  <c r="E58" i="4"/>
  <c r="E57" i="4"/>
  <c r="D57" i="4"/>
  <c r="D58" i="4" s="1"/>
  <c r="Q56" i="4"/>
  <c r="E56" i="4"/>
  <c r="Q55" i="4"/>
  <c r="F55" i="4"/>
  <c r="F57" i="4" s="1"/>
  <c r="G43" i="4" s="1"/>
  <c r="H43" i="4" s="1"/>
  <c r="E55" i="4"/>
  <c r="Q54" i="4"/>
  <c r="F54" i="4"/>
  <c r="E54" i="4"/>
  <c r="C54" i="4"/>
  <c r="Q53" i="4"/>
  <c r="E53" i="4"/>
  <c r="F53" i="4" s="1"/>
  <c r="C53" i="4"/>
  <c r="E52" i="4"/>
  <c r="F52" i="4" s="1"/>
  <c r="C52" i="4"/>
  <c r="Q51" i="4"/>
  <c r="E51" i="4"/>
  <c r="F51" i="4" s="1"/>
  <c r="C51" i="4"/>
  <c r="Q50" i="4"/>
  <c r="F50" i="4"/>
  <c r="E50" i="4"/>
  <c r="E49" i="4"/>
  <c r="Q48" i="4"/>
  <c r="F48" i="4"/>
  <c r="Q47" i="4"/>
  <c r="F47" i="4"/>
  <c r="Q46" i="4"/>
  <c r="F46" i="4"/>
  <c r="Q45" i="4"/>
  <c r="F45" i="4"/>
  <c r="Q44" i="4"/>
  <c r="G44" i="4"/>
  <c r="F44" i="4"/>
  <c r="Q43" i="4"/>
  <c r="F43" i="4"/>
  <c r="E40" i="4"/>
  <c r="Q38" i="4"/>
  <c r="Q37" i="4"/>
  <c r="R34" i="4"/>
  <c r="R32" i="4"/>
  <c r="R31" i="4"/>
  <c r="Q31" i="4"/>
  <c r="C24" i="4"/>
  <c r="B24" i="4"/>
  <c r="D23" i="4"/>
  <c r="E9" i="4" s="1"/>
  <c r="C23" i="4"/>
  <c r="B23" i="4"/>
  <c r="C22" i="4"/>
  <c r="O21" i="4"/>
  <c r="D21" i="4"/>
  <c r="AB20" i="4"/>
  <c r="AD20" i="4" s="1"/>
  <c r="Y20" i="4"/>
  <c r="O20" i="4"/>
  <c r="J20" i="4"/>
  <c r="D20" i="4"/>
  <c r="A20" i="4"/>
  <c r="Y19" i="4"/>
  <c r="O19" i="4"/>
  <c r="J19" i="4"/>
  <c r="AB19" i="4" s="1"/>
  <c r="AD19" i="4" s="1"/>
  <c r="D19" i="4"/>
  <c r="A19" i="4"/>
  <c r="Y18" i="4"/>
  <c r="O18" i="4"/>
  <c r="J18" i="4"/>
  <c r="AB18" i="4" s="1"/>
  <c r="AD18" i="4" s="1"/>
  <c r="D18" i="4"/>
  <c r="A18" i="4"/>
  <c r="Y17" i="4"/>
  <c r="O17" i="4"/>
  <c r="J17" i="4"/>
  <c r="AB17" i="4" s="1"/>
  <c r="AD17" i="4" s="1"/>
  <c r="D17" i="4"/>
  <c r="A17" i="4"/>
  <c r="Y16" i="4"/>
  <c r="O16" i="4"/>
  <c r="J16" i="4"/>
  <c r="AB16" i="4" s="1"/>
  <c r="AD16" i="4" s="1"/>
  <c r="D16" i="4"/>
  <c r="A16" i="4"/>
  <c r="AB15" i="4"/>
  <c r="AD15" i="4" s="1"/>
  <c r="Y15" i="4"/>
  <c r="O15" i="4"/>
  <c r="J15" i="4"/>
  <c r="D15" i="4"/>
  <c r="A15" i="4"/>
  <c r="AB14" i="4"/>
  <c r="AD14" i="4" s="1"/>
  <c r="Y14" i="4"/>
  <c r="O14" i="4"/>
  <c r="J14" i="4"/>
  <c r="D14" i="4"/>
  <c r="A14" i="4"/>
  <c r="AD13" i="4"/>
  <c r="AB13" i="4"/>
  <c r="Y13" i="4"/>
  <c r="O13" i="4"/>
  <c r="J13" i="4"/>
  <c r="D13" i="4"/>
  <c r="A13" i="4"/>
  <c r="AD12" i="4"/>
  <c r="Y12" i="4"/>
  <c r="O12" i="4"/>
  <c r="J12" i="4"/>
  <c r="AB12" i="4" s="1"/>
  <c r="D12" i="4"/>
  <c r="A12" i="4"/>
  <c r="Y11" i="4"/>
  <c r="O11" i="4"/>
  <c r="J11" i="4"/>
  <c r="AB11" i="4" s="1"/>
  <c r="AD11" i="4" s="1"/>
  <c r="D11" i="4"/>
  <c r="A11" i="4"/>
  <c r="Y10" i="4"/>
  <c r="O10" i="4"/>
  <c r="J10" i="4"/>
  <c r="AB10" i="4" s="1"/>
  <c r="AD10" i="4" s="1"/>
  <c r="D10" i="4"/>
  <c r="A10" i="4"/>
  <c r="Y9" i="4"/>
  <c r="O9" i="4"/>
  <c r="J9" i="4"/>
  <c r="AB9" i="4" s="1"/>
  <c r="AD9" i="4" s="1"/>
  <c r="D9" i="4"/>
  <c r="A9" i="4"/>
  <c r="B8" i="4"/>
  <c r="C6" i="4"/>
  <c r="I5" i="4"/>
  <c r="A5" i="4"/>
  <c r="AC4" i="4"/>
  <c r="AB4" i="4"/>
  <c r="AA4" i="4"/>
  <c r="Y4" i="4"/>
  <c r="F4" i="4"/>
  <c r="A4" i="4"/>
  <c r="AE3" i="4"/>
  <c r="AD3" i="4"/>
  <c r="AC3" i="4"/>
  <c r="AB3" i="4"/>
  <c r="AA3" i="4" s="1"/>
  <c r="Y3" i="4"/>
  <c r="I3" i="4"/>
  <c r="AA2" i="4"/>
  <c r="AA5" i="4" s="1"/>
  <c r="Z5" i="4" s="1"/>
  <c r="Y2" i="4"/>
  <c r="Q110" i="3"/>
  <c r="Q109" i="3"/>
  <c r="E109" i="3"/>
  <c r="Q108" i="3"/>
  <c r="E108" i="3"/>
  <c r="D108" i="3"/>
  <c r="D109" i="3" s="1"/>
  <c r="Q107" i="3"/>
  <c r="E107" i="3"/>
  <c r="Q106" i="3"/>
  <c r="F106" i="3"/>
  <c r="F108" i="3" s="1"/>
  <c r="G94" i="3" s="1"/>
  <c r="Q105" i="3"/>
  <c r="F105" i="3"/>
  <c r="C105" i="3"/>
  <c r="Q104" i="3"/>
  <c r="F104" i="3"/>
  <c r="C104" i="3"/>
  <c r="Q103" i="3"/>
  <c r="F103" i="3"/>
  <c r="C103" i="3"/>
  <c r="Q102" i="3"/>
  <c r="F102" i="3"/>
  <c r="C102" i="3"/>
  <c r="Q101" i="3"/>
  <c r="F101" i="3"/>
  <c r="Q100" i="3"/>
  <c r="F100" i="3"/>
  <c r="Q99" i="3"/>
  <c r="F99" i="3"/>
  <c r="Q98" i="3"/>
  <c r="Q111" i="3" s="1"/>
  <c r="Q88" i="3" s="1"/>
  <c r="F98" i="3"/>
  <c r="F97" i="3"/>
  <c r="F96" i="3"/>
  <c r="F95" i="3"/>
  <c r="Q94" i="3"/>
  <c r="F94" i="3"/>
  <c r="Q93" i="3"/>
  <c r="Q92" i="3"/>
  <c r="Q91" i="3"/>
  <c r="E91" i="3"/>
  <c r="Q90" i="3"/>
  <c r="Q89" i="3"/>
  <c r="Q87" i="3"/>
  <c r="Q86" i="3"/>
  <c r="S85" i="3"/>
  <c r="Q84" i="3"/>
  <c r="Q83" i="3"/>
  <c r="Q95" i="3" s="1"/>
  <c r="E57" i="3"/>
  <c r="E58" i="3" s="1"/>
  <c r="D57" i="3"/>
  <c r="D58" i="3" s="1"/>
  <c r="Q56" i="3"/>
  <c r="E56" i="3"/>
  <c r="Q55" i="3"/>
  <c r="F55" i="3"/>
  <c r="F57" i="3" s="1"/>
  <c r="E55" i="3"/>
  <c r="F54" i="3"/>
  <c r="E54" i="3"/>
  <c r="Q54" i="3" s="1"/>
  <c r="C54" i="3"/>
  <c r="Q53" i="3"/>
  <c r="F53" i="3"/>
  <c r="E53" i="3"/>
  <c r="C53" i="3"/>
  <c r="E52" i="3"/>
  <c r="Q52" i="3" s="1"/>
  <c r="C52" i="3"/>
  <c r="Q51" i="3"/>
  <c r="F51" i="3"/>
  <c r="E51" i="3"/>
  <c r="C51" i="3"/>
  <c r="F50" i="3"/>
  <c r="E50" i="3"/>
  <c r="Q50" i="3" s="1"/>
  <c r="E49" i="3"/>
  <c r="Q48" i="3"/>
  <c r="F48" i="3"/>
  <c r="Q47" i="3"/>
  <c r="F47" i="3"/>
  <c r="Q46" i="3"/>
  <c r="F46" i="3"/>
  <c r="Q45" i="3"/>
  <c r="F45" i="3"/>
  <c r="Q44" i="3"/>
  <c r="F44" i="3"/>
  <c r="Q43" i="3"/>
  <c r="G43" i="3"/>
  <c r="G44" i="3" s="1"/>
  <c r="F43" i="3"/>
  <c r="E40" i="3"/>
  <c r="R33" i="3"/>
  <c r="D23" i="3"/>
  <c r="E9" i="3" s="1"/>
  <c r="C23" i="3"/>
  <c r="C24" i="3" s="1"/>
  <c r="B23" i="3"/>
  <c r="B24" i="3" s="1"/>
  <c r="C22" i="3"/>
  <c r="O21" i="3"/>
  <c r="D21" i="3"/>
  <c r="Y20" i="3"/>
  <c r="O20" i="3"/>
  <c r="J20" i="3"/>
  <c r="AB20" i="3" s="1"/>
  <c r="AD20" i="3" s="1"/>
  <c r="D20" i="3"/>
  <c r="A20" i="3"/>
  <c r="AD19" i="3"/>
  <c r="Y19" i="3"/>
  <c r="O19" i="3"/>
  <c r="P19" i="3" s="1"/>
  <c r="J19" i="3"/>
  <c r="AB19" i="3" s="1"/>
  <c r="D19" i="3"/>
  <c r="A19" i="3"/>
  <c r="AD18" i="3"/>
  <c r="Y18" i="3"/>
  <c r="O18" i="3"/>
  <c r="J18" i="3"/>
  <c r="AB18" i="3" s="1"/>
  <c r="D18" i="3"/>
  <c r="A18" i="3"/>
  <c r="AB17" i="3"/>
  <c r="AD17" i="3" s="1"/>
  <c r="Y17" i="3"/>
  <c r="O17" i="3"/>
  <c r="J17" i="3"/>
  <c r="D17" i="3"/>
  <c r="A17" i="3"/>
  <c r="Y16" i="3"/>
  <c r="O16" i="3"/>
  <c r="L16" i="3"/>
  <c r="J16" i="3"/>
  <c r="AB16" i="3" s="1"/>
  <c r="AD16" i="3" s="1"/>
  <c r="D16" i="3"/>
  <c r="A16" i="3"/>
  <c r="AD15" i="3"/>
  <c r="Y15" i="3"/>
  <c r="O15" i="3"/>
  <c r="L15" i="3"/>
  <c r="J15" i="3"/>
  <c r="AB15" i="3" s="1"/>
  <c r="D15" i="3"/>
  <c r="A15" i="3"/>
  <c r="Y14" i="3"/>
  <c r="O14" i="3"/>
  <c r="L14" i="3"/>
  <c r="J14" i="3"/>
  <c r="AB14" i="3" s="1"/>
  <c r="AD14" i="3" s="1"/>
  <c r="D14" i="3"/>
  <c r="A14" i="3"/>
  <c r="Y13" i="3"/>
  <c r="O13" i="3"/>
  <c r="J13" i="3"/>
  <c r="AB13" i="3" s="1"/>
  <c r="AD13" i="3" s="1"/>
  <c r="D13" i="3"/>
  <c r="A13" i="3"/>
  <c r="Y12" i="3"/>
  <c r="O12" i="3"/>
  <c r="L12" i="3"/>
  <c r="P11" i="3" s="1"/>
  <c r="J12" i="3"/>
  <c r="AB12" i="3" s="1"/>
  <c r="AD12" i="3" s="1"/>
  <c r="D12" i="3"/>
  <c r="A12" i="3"/>
  <c r="Y11" i="3"/>
  <c r="O11" i="3"/>
  <c r="J11" i="3"/>
  <c r="AB11" i="3" s="1"/>
  <c r="AD11" i="3" s="1"/>
  <c r="D11" i="3"/>
  <c r="A11" i="3"/>
  <c r="Y10" i="3"/>
  <c r="O10" i="3"/>
  <c r="P10" i="3" s="1"/>
  <c r="J10" i="3"/>
  <c r="AB10" i="3" s="1"/>
  <c r="AD10" i="3" s="1"/>
  <c r="D10" i="3"/>
  <c r="A10" i="3"/>
  <c r="Y9" i="3"/>
  <c r="O9" i="3"/>
  <c r="L17" i="3" s="1"/>
  <c r="J9" i="3"/>
  <c r="AB9" i="3" s="1"/>
  <c r="AD9" i="3" s="1"/>
  <c r="D9" i="3"/>
  <c r="A9" i="3"/>
  <c r="B8" i="3"/>
  <c r="C6" i="3"/>
  <c r="I5" i="3"/>
  <c r="A5" i="3"/>
  <c r="AC4" i="3"/>
  <c r="AB4" i="3" s="1"/>
  <c r="AA4" i="3"/>
  <c r="Y4" i="3"/>
  <c r="Y5" i="3" s="1"/>
  <c r="F4" i="3"/>
  <c r="A4" i="3"/>
  <c r="AE3" i="3"/>
  <c r="AD3" i="3"/>
  <c r="AB3" i="3" s="1"/>
  <c r="AA3" i="3" s="1"/>
  <c r="AC3" i="3"/>
  <c r="Y3" i="3"/>
  <c r="I3" i="3"/>
  <c r="AA2" i="3"/>
  <c r="Y2" i="3"/>
  <c r="Q111" i="2"/>
  <c r="Q93" i="2" s="1"/>
  <c r="Q110" i="2"/>
  <c r="Q109" i="2"/>
  <c r="E109" i="2"/>
  <c r="D109" i="2"/>
  <c r="Q108" i="2"/>
  <c r="F108" i="2"/>
  <c r="G94" i="2" s="1"/>
  <c r="G95" i="2" s="1"/>
  <c r="E108" i="2"/>
  <c r="D108" i="2"/>
  <c r="Q107" i="2"/>
  <c r="E107" i="2"/>
  <c r="Q106" i="2"/>
  <c r="F106" i="2"/>
  <c r="Q105" i="2"/>
  <c r="F105" i="2"/>
  <c r="C105" i="2"/>
  <c r="Q104" i="2"/>
  <c r="F104" i="2"/>
  <c r="C104" i="2"/>
  <c r="Q103" i="2"/>
  <c r="F103" i="2"/>
  <c r="C103" i="2"/>
  <c r="Q102" i="2"/>
  <c r="F102" i="2"/>
  <c r="C102" i="2"/>
  <c r="Q101" i="2"/>
  <c r="F101" i="2"/>
  <c r="Q100" i="2"/>
  <c r="F100" i="2"/>
  <c r="Q99" i="2"/>
  <c r="R88" i="2" s="1"/>
  <c r="F99" i="2"/>
  <c r="Q98" i="2"/>
  <c r="F98" i="2"/>
  <c r="F97" i="2"/>
  <c r="F96" i="2"/>
  <c r="F95" i="2"/>
  <c r="F94" i="2"/>
  <c r="Q91" i="2"/>
  <c r="E91" i="2"/>
  <c r="Q89" i="2"/>
  <c r="R86" i="2"/>
  <c r="Q86" i="2"/>
  <c r="S85" i="2"/>
  <c r="Q85" i="2"/>
  <c r="E58" i="2"/>
  <c r="D58" i="2"/>
  <c r="E57" i="2"/>
  <c r="D57" i="2"/>
  <c r="Q56" i="2"/>
  <c r="E56" i="2"/>
  <c r="Q55" i="2"/>
  <c r="R55" i="2" s="1"/>
  <c r="E55" i="2"/>
  <c r="F55" i="2" s="1"/>
  <c r="F57" i="2" s="1"/>
  <c r="G43" i="2" s="1"/>
  <c r="F54" i="2"/>
  <c r="E54" i="2"/>
  <c r="Q54" i="2" s="1"/>
  <c r="C54" i="2"/>
  <c r="Q53" i="2"/>
  <c r="F53" i="2"/>
  <c r="E53" i="2"/>
  <c r="C53" i="2"/>
  <c r="E52" i="2"/>
  <c r="Q52" i="2" s="1"/>
  <c r="R52" i="2" s="1"/>
  <c r="S52" i="2" s="1"/>
  <c r="T52" i="2" s="1"/>
  <c r="U52" i="2" s="1"/>
  <c r="V52" i="2" s="1"/>
  <c r="W52" i="2" s="1"/>
  <c r="C52" i="2"/>
  <c r="Q51" i="2"/>
  <c r="F51" i="2"/>
  <c r="E51" i="2"/>
  <c r="C51" i="2"/>
  <c r="R50" i="2"/>
  <c r="S50" i="2" s="1"/>
  <c r="T50" i="2" s="1"/>
  <c r="U50" i="2" s="1"/>
  <c r="V50" i="2" s="1"/>
  <c r="W50" i="2" s="1"/>
  <c r="F50" i="2"/>
  <c r="E50" i="2"/>
  <c r="Q50" i="2" s="1"/>
  <c r="Q49" i="2"/>
  <c r="R49" i="2" s="1"/>
  <c r="S49" i="2" s="1"/>
  <c r="T49" i="2" s="1"/>
  <c r="U49" i="2" s="1"/>
  <c r="V49" i="2" s="1"/>
  <c r="W49" i="2" s="1"/>
  <c r="E49" i="2"/>
  <c r="F49" i="2" s="1"/>
  <c r="R48" i="2"/>
  <c r="S48" i="2" s="1"/>
  <c r="T48" i="2" s="1"/>
  <c r="U48" i="2" s="1"/>
  <c r="V48" i="2" s="1"/>
  <c r="W48" i="2" s="1"/>
  <c r="Q48" i="2"/>
  <c r="F48" i="2"/>
  <c r="R47" i="2"/>
  <c r="S47" i="2" s="1"/>
  <c r="T47" i="2" s="1"/>
  <c r="U47" i="2" s="1"/>
  <c r="V47" i="2" s="1"/>
  <c r="W47" i="2" s="1"/>
  <c r="Q47" i="2"/>
  <c r="F47" i="2"/>
  <c r="R46" i="2"/>
  <c r="S46" i="2" s="1"/>
  <c r="T46" i="2" s="1"/>
  <c r="U46" i="2" s="1"/>
  <c r="V46" i="2" s="1"/>
  <c r="W46" i="2" s="1"/>
  <c r="Q46" i="2"/>
  <c r="F46" i="2"/>
  <c r="R45" i="2"/>
  <c r="S45" i="2" s="1"/>
  <c r="T45" i="2" s="1"/>
  <c r="U45" i="2" s="1"/>
  <c r="V45" i="2" s="1"/>
  <c r="W45" i="2" s="1"/>
  <c r="Q45" i="2"/>
  <c r="F45" i="2"/>
  <c r="R44" i="2"/>
  <c r="S44" i="2" s="1"/>
  <c r="T44" i="2" s="1"/>
  <c r="U44" i="2" s="1"/>
  <c r="V44" i="2" s="1"/>
  <c r="W44" i="2" s="1"/>
  <c r="Q44" i="2"/>
  <c r="F44" i="2"/>
  <c r="Q43" i="2"/>
  <c r="F43" i="2"/>
  <c r="Q40" i="2"/>
  <c r="E40" i="2"/>
  <c r="Q38" i="2"/>
  <c r="Q36" i="2"/>
  <c r="R35" i="2"/>
  <c r="Q35" i="2"/>
  <c r="R34" i="2"/>
  <c r="Q34" i="2"/>
  <c r="R33" i="2"/>
  <c r="Q33" i="2"/>
  <c r="R32" i="2"/>
  <c r="Q32" i="2"/>
  <c r="R31" i="2"/>
  <c r="Q31" i="2"/>
  <c r="S30" i="2"/>
  <c r="R30" i="2"/>
  <c r="R54" i="2" s="1"/>
  <c r="S54" i="2" s="1"/>
  <c r="T54" i="2" s="1"/>
  <c r="U54" i="2" s="1"/>
  <c r="V54" i="2" s="1"/>
  <c r="W54" i="2" s="1"/>
  <c r="Q30" i="2"/>
  <c r="Q29" i="2"/>
  <c r="Q28" i="2"/>
  <c r="B24" i="2"/>
  <c r="D23" i="2"/>
  <c r="E9" i="2" s="1"/>
  <c r="C23" i="2"/>
  <c r="C24" i="2" s="1"/>
  <c r="B23" i="2"/>
  <c r="C22" i="2"/>
  <c r="AB21" i="2"/>
  <c r="O21" i="2"/>
  <c r="P21" i="2" s="1"/>
  <c r="D21" i="2"/>
  <c r="AB20" i="2"/>
  <c r="Y20" i="2"/>
  <c r="O20" i="2"/>
  <c r="P20" i="2" s="1"/>
  <c r="J20" i="2"/>
  <c r="D20" i="2"/>
  <c r="A20" i="2"/>
  <c r="AB19" i="2"/>
  <c r="Y19" i="2"/>
  <c r="O19" i="2"/>
  <c r="P19" i="2" s="1"/>
  <c r="J19" i="2"/>
  <c r="D19" i="2"/>
  <c r="A19" i="2"/>
  <c r="Y18" i="2"/>
  <c r="O18" i="2"/>
  <c r="P18" i="2" s="1"/>
  <c r="J18" i="2"/>
  <c r="AB18" i="2" s="1"/>
  <c r="D18" i="2"/>
  <c r="A18" i="2"/>
  <c r="Y17" i="2"/>
  <c r="O17" i="2"/>
  <c r="J17" i="2"/>
  <c r="AB17" i="2" s="1"/>
  <c r="D17" i="2"/>
  <c r="A17" i="2"/>
  <c r="Y16" i="2"/>
  <c r="O16" i="2"/>
  <c r="P16" i="2" s="1"/>
  <c r="L16" i="2"/>
  <c r="J16" i="2"/>
  <c r="AB16" i="2" s="1"/>
  <c r="D16" i="2"/>
  <c r="A16" i="2"/>
  <c r="Y15" i="2"/>
  <c r="O15" i="2"/>
  <c r="P15" i="2" s="1"/>
  <c r="J15" i="2"/>
  <c r="AB15" i="2" s="1"/>
  <c r="D15" i="2"/>
  <c r="A15" i="2"/>
  <c r="Y14" i="2"/>
  <c r="O14" i="2"/>
  <c r="P14" i="2" s="1"/>
  <c r="J14" i="2"/>
  <c r="AB14" i="2" s="1"/>
  <c r="D14" i="2"/>
  <c r="A14" i="2"/>
  <c r="Y13" i="2"/>
  <c r="O13" i="2"/>
  <c r="J13" i="2"/>
  <c r="AB13" i="2" s="1"/>
  <c r="D13" i="2"/>
  <c r="A13" i="2"/>
  <c r="Y12" i="2"/>
  <c r="O12" i="2"/>
  <c r="P12" i="2" s="1"/>
  <c r="L12" i="2"/>
  <c r="P13" i="2" s="1"/>
  <c r="J12" i="2"/>
  <c r="AB12" i="2" s="1"/>
  <c r="D12" i="2"/>
  <c r="A12" i="2"/>
  <c r="AB11" i="2"/>
  <c r="Y11" i="2"/>
  <c r="O11" i="2"/>
  <c r="P11" i="2" s="1"/>
  <c r="J11" i="2"/>
  <c r="D11" i="2"/>
  <c r="A11" i="2"/>
  <c r="Y10" i="2"/>
  <c r="O10" i="2"/>
  <c r="P10" i="2" s="1"/>
  <c r="J10" i="2"/>
  <c r="AB10" i="2" s="1"/>
  <c r="D10" i="2"/>
  <c r="A10" i="2"/>
  <c r="Y9" i="2"/>
  <c r="O9" i="2"/>
  <c r="O22" i="2" s="1"/>
  <c r="J9" i="2"/>
  <c r="AB9" i="2" s="1"/>
  <c r="D9" i="2"/>
  <c r="A9" i="2"/>
  <c r="B8" i="2"/>
  <c r="C6" i="2"/>
  <c r="I5" i="2"/>
  <c r="A5" i="2"/>
  <c r="AC4" i="2"/>
  <c r="AB4" i="2"/>
  <c r="AA4" i="2"/>
  <c r="Y4" i="2"/>
  <c r="F4" i="2"/>
  <c r="A4" i="2"/>
  <c r="AD3" i="2"/>
  <c r="AC3" i="2"/>
  <c r="AE3" i="2" s="1"/>
  <c r="AB3" i="2" s="1"/>
  <c r="Y3" i="2"/>
  <c r="I3" i="2"/>
  <c r="AA2" i="2"/>
  <c r="Y2" i="2"/>
  <c r="C44" i="1"/>
  <c r="B44" i="1"/>
  <c r="E44" i="1" s="1"/>
  <c r="C43" i="1"/>
  <c r="B43" i="1"/>
  <c r="E43" i="1" s="1"/>
  <c r="C42" i="1"/>
  <c r="B42" i="1"/>
  <c r="E42" i="1" s="1"/>
  <c r="C41" i="1"/>
  <c r="B41" i="1"/>
  <c r="E41" i="1" s="1"/>
  <c r="C40" i="1"/>
  <c r="B40" i="1"/>
  <c r="E40" i="1" s="1"/>
  <c r="C39" i="1"/>
  <c r="B39" i="1"/>
  <c r="D39" i="1" s="1"/>
  <c r="C38" i="1"/>
  <c r="B38" i="1"/>
  <c r="E38" i="1" s="1"/>
  <c r="E37" i="1"/>
  <c r="C37" i="1"/>
  <c r="D37" i="1" s="1"/>
  <c r="F37" i="1" s="1"/>
  <c r="H28" i="1" s="1"/>
  <c r="B37" i="1"/>
  <c r="C36" i="1"/>
  <c r="B36" i="1"/>
  <c r="E36" i="1" s="1"/>
  <c r="C35" i="1"/>
  <c r="B35" i="1"/>
  <c r="E35" i="1" s="1"/>
  <c r="C34" i="1"/>
  <c r="B34" i="1"/>
  <c r="E34" i="1" s="1"/>
  <c r="C33" i="1"/>
  <c r="B33" i="1"/>
  <c r="E33" i="1" s="1"/>
  <c r="K32" i="1"/>
  <c r="N32" i="1" s="1"/>
  <c r="K31" i="1"/>
  <c r="N31" i="1" s="1"/>
  <c r="O26" i="1"/>
  <c r="N26" i="1"/>
  <c r="M26" i="1"/>
  <c r="L26" i="1"/>
  <c r="K26" i="1"/>
  <c r="J26" i="1"/>
  <c r="I26" i="1"/>
  <c r="H26" i="1"/>
  <c r="G26" i="1"/>
  <c r="F26" i="1"/>
  <c r="E26" i="1"/>
  <c r="D26" i="1"/>
  <c r="O24" i="1"/>
  <c r="N24" i="1"/>
  <c r="M24" i="1"/>
  <c r="L24" i="1"/>
  <c r="K24" i="1"/>
  <c r="J24" i="1"/>
  <c r="I24" i="1"/>
  <c r="H24" i="1"/>
  <c r="G24" i="1"/>
  <c r="F24" i="1"/>
  <c r="E24" i="1"/>
  <c r="D43" i="1" l="1"/>
  <c r="F43" i="1" s="1"/>
  <c r="N28" i="1" s="1"/>
  <c r="D36" i="1"/>
  <c r="D40" i="1"/>
  <c r="D34" i="1"/>
  <c r="F34" i="1" s="1"/>
  <c r="D35" i="1"/>
  <c r="F35" i="1" s="1"/>
  <c r="F28" i="1" s="1"/>
  <c r="D38" i="1"/>
  <c r="F38" i="1" s="1"/>
  <c r="I28" i="1" s="1"/>
  <c r="D41" i="1"/>
  <c r="F41" i="1" s="1"/>
  <c r="L28" i="1" s="1"/>
  <c r="D44" i="1"/>
  <c r="F44" i="1" s="1"/>
  <c r="O28" i="1" s="1"/>
  <c r="D33" i="1"/>
  <c r="F33" i="1" s="1"/>
  <c r="D28" i="1" s="1"/>
  <c r="F36" i="1"/>
  <c r="G28" i="1" s="1"/>
  <c r="E39" i="1"/>
  <c r="F39" i="1" s="1"/>
  <c r="J28" i="1" s="1"/>
  <c r="D42" i="1"/>
  <c r="G44" i="2"/>
  <c r="H43" i="2"/>
  <c r="F9" i="2"/>
  <c r="H9" i="2" s="1"/>
  <c r="E10" i="6" s="1"/>
  <c r="E11" i="6" s="1"/>
  <c r="E4" i="6" s="1"/>
  <c r="E10" i="2"/>
  <c r="Q10" i="2"/>
  <c r="Q19" i="2"/>
  <c r="R56" i="2"/>
  <c r="S31" i="2" s="1"/>
  <c r="S55" i="2"/>
  <c r="P22" i="2"/>
  <c r="M13" i="2" s="1"/>
  <c r="Q20" i="2"/>
  <c r="AA3" i="2"/>
  <c r="K12" i="2"/>
  <c r="K19" i="2"/>
  <c r="K21" i="2"/>
  <c r="K17" i="2"/>
  <c r="K18" i="2"/>
  <c r="K13" i="2"/>
  <c r="K20" i="2"/>
  <c r="K16" i="2"/>
  <c r="K14" i="2"/>
  <c r="K15" i="2"/>
  <c r="M12" i="2"/>
  <c r="K10" i="2"/>
  <c r="K22" i="2" s="1"/>
  <c r="K11" i="2"/>
  <c r="Q13" i="2"/>
  <c r="R13" i="2" s="1"/>
  <c r="S13" i="2" s="1"/>
  <c r="T13" i="2" s="1"/>
  <c r="U13" i="2" s="1"/>
  <c r="G96" i="2"/>
  <c r="H95" i="2"/>
  <c r="F9" i="6" s="1"/>
  <c r="R90" i="3"/>
  <c r="R89" i="3"/>
  <c r="R86" i="3"/>
  <c r="R88" i="3"/>
  <c r="R85" i="3"/>
  <c r="R106" i="3" s="1"/>
  <c r="S106" i="3" s="1"/>
  <c r="T106" i="3" s="1"/>
  <c r="U106" i="3" s="1"/>
  <c r="V106" i="3" s="1"/>
  <c r="W106" i="3" s="1"/>
  <c r="R99" i="3"/>
  <c r="S99" i="3" s="1"/>
  <c r="T99" i="3" s="1"/>
  <c r="U99" i="3" s="1"/>
  <c r="V99" i="3" s="1"/>
  <c r="W99" i="3" s="1"/>
  <c r="R87" i="3"/>
  <c r="Z3" i="5"/>
  <c r="AC9" i="5" s="1"/>
  <c r="AC10" i="5" s="1"/>
  <c r="AC11" i="5" s="1"/>
  <c r="AC12" i="5" s="1"/>
  <c r="AC13" i="5" s="1"/>
  <c r="AC14" i="5" s="1"/>
  <c r="AC15" i="5" s="1"/>
  <c r="AC16" i="5" s="1"/>
  <c r="AC17" i="5" s="1"/>
  <c r="AC18" i="5" s="1"/>
  <c r="AC19" i="5" s="1"/>
  <c r="AC20" i="5" s="1"/>
  <c r="AA5" i="5"/>
  <c r="P13" i="3"/>
  <c r="G45" i="3"/>
  <c r="H44" i="3"/>
  <c r="L14" i="2"/>
  <c r="Q92" i="2"/>
  <c r="P20" i="3"/>
  <c r="H43" i="3"/>
  <c r="H44" i="4"/>
  <c r="G45" i="4"/>
  <c r="R45" i="3"/>
  <c r="S45" i="3" s="1"/>
  <c r="Q30" i="3"/>
  <c r="Q35" i="3"/>
  <c r="Q29" i="3"/>
  <c r="Q39" i="3"/>
  <c r="Q38" i="3"/>
  <c r="Q34" i="3"/>
  <c r="Q33" i="3"/>
  <c r="Q32" i="3"/>
  <c r="Q37" i="3"/>
  <c r="Q31" i="3"/>
  <c r="Q36" i="3"/>
  <c r="S30" i="3"/>
  <c r="Q28" i="3"/>
  <c r="Q40" i="3" s="1"/>
  <c r="L13" i="2"/>
  <c r="Q15" i="2" s="1"/>
  <c r="R15" i="2" s="1"/>
  <c r="S15" i="2" s="1"/>
  <c r="T15" i="2" s="1"/>
  <c r="U15" i="2" s="1"/>
  <c r="F52" i="2"/>
  <c r="R109" i="2"/>
  <c r="S109" i="2" s="1"/>
  <c r="T109" i="2" s="1"/>
  <c r="U109" i="2" s="1"/>
  <c r="V109" i="2" s="1"/>
  <c r="L15" i="2"/>
  <c r="R51" i="2"/>
  <c r="S51" i="2" s="1"/>
  <c r="T51" i="2" s="1"/>
  <c r="U51" i="2" s="1"/>
  <c r="V51" i="2" s="1"/>
  <c r="W51" i="2" s="1"/>
  <c r="Q39" i="2"/>
  <c r="Q37" i="2"/>
  <c r="F49" i="3"/>
  <c r="Q49" i="3"/>
  <c r="R49" i="3" s="1"/>
  <c r="S49" i="3" s="1"/>
  <c r="T49" i="3" s="1"/>
  <c r="U49" i="3" s="1"/>
  <c r="V49" i="3" s="1"/>
  <c r="W49" i="3" s="1"/>
  <c r="P17" i="2"/>
  <c r="R85" i="2"/>
  <c r="R87" i="2"/>
  <c r="P21" i="3"/>
  <c r="P18" i="3"/>
  <c r="Q18" i="3" s="1"/>
  <c r="R18" i="3" s="1"/>
  <c r="S18" i="3" s="1"/>
  <c r="T18" i="3" s="1"/>
  <c r="U18" i="3" s="1"/>
  <c r="P16" i="3"/>
  <c r="P15" i="3"/>
  <c r="P14" i="3"/>
  <c r="L17" i="2"/>
  <c r="H94" i="2"/>
  <c r="E9" i="6" s="1"/>
  <c r="R99" i="2"/>
  <c r="S99" i="2" s="1"/>
  <c r="T99" i="2" s="1"/>
  <c r="U99" i="2" s="1"/>
  <c r="V99" i="2" s="1"/>
  <c r="R108" i="2"/>
  <c r="S108" i="2" s="1"/>
  <c r="T108" i="2" s="1"/>
  <c r="U108" i="2" s="1"/>
  <c r="V108" i="2" s="1"/>
  <c r="AA5" i="3"/>
  <c r="Z5" i="3" s="1"/>
  <c r="H94" i="3"/>
  <c r="E17" i="6" s="1"/>
  <c r="G95" i="3"/>
  <c r="F9" i="4"/>
  <c r="H9" i="4" s="1"/>
  <c r="E26" i="6" s="1"/>
  <c r="E27" i="6" s="1"/>
  <c r="E10" i="4"/>
  <c r="Q49" i="4"/>
  <c r="R49" i="4" s="1"/>
  <c r="S49" i="4" s="1"/>
  <c r="T49" i="4" s="1"/>
  <c r="U49" i="4" s="1"/>
  <c r="V49" i="4" s="1"/>
  <c r="W49" i="4" s="1"/>
  <c r="F49" i="4"/>
  <c r="F9" i="3"/>
  <c r="H9" i="3" s="1"/>
  <c r="E18" i="6" s="1"/>
  <c r="E19" i="6" s="1"/>
  <c r="E10" i="3"/>
  <c r="R53" i="2"/>
  <c r="S53" i="2" s="1"/>
  <c r="T53" i="2" s="1"/>
  <c r="U53" i="2" s="1"/>
  <c r="V53" i="2" s="1"/>
  <c r="W53" i="2" s="1"/>
  <c r="R89" i="2"/>
  <c r="Q94" i="2"/>
  <c r="Q88" i="2"/>
  <c r="Q90" i="2"/>
  <c r="Q84" i="2"/>
  <c r="Q87" i="2"/>
  <c r="Q83" i="2"/>
  <c r="Q95" i="2" s="1"/>
  <c r="P12" i="3"/>
  <c r="O22" i="4"/>
  <c r="L17" i="4"/>
  <c r="L16" i="4"/>
  <c r="L14" i="4"/>
  <c r="L15" i="4"/>
  <c r="L13" i="4"/>
  <c r="L12" i="4"/>
  <c r="H94" i="5"/>
  <c r="E33" i="6" s="1"/>
  <c r="G95" i="5"/>
  <c r="R110" i="2"/>
  <c r="Y5" i="2"/>
  <c r="R90" i="2"/>
  <c r="P17" i="3"/>
  <c r="F10" i="5"/>
  <c r="H10" i="5" s="1"/>
  <c r="F34" i="6" s="1"/>
  <c r="F35" i="6" s="1"/>
  <c r="E11" i="5"/>
  <c r="R35" i="3"/>
  <c r="R32" i="3"/>
  <c r="R34" i="3"/>
  <c r="R31" i="3"/>
  <c r="Q36" i="4"/>
  <c r="S30" i="4"/>
  <c r="Q33" i="4"/>
  <c r="Q30" i="4"/>
  <c r="Q32" i="4"/>
  <c r="Q28" i="4"/>
  <c r="Q40" i="4" s="1"/>
  <c r="Q35" i="4"/>
  <c r="Q29" i="4"/>
  <c r="Q34" i="4"/>
  <c r="Q39" i="4"/>
  <c r="R30" i="3"/>
  <c r="R55" i="3" s="1"/>
  <c r="P14" i="4"/>
  <c r="Q14" i="4" s="1"/>
  <c r="R14" i="4" s="1"/>
  <c r="H94" i="4"/>
  <c r="E25" i="6" s="1"/>
  <c r="G95" i="4"/>
  <c r="O22" i="3"/>
  <c r="Z2" i="4"/>
  <c r="W9" i="4" s="1"/>
  <c r="P15" i="4"/>
  <c r="Q15" i="4" s="1"/>
  <c r="R111" i="4"/>
  <c r="S86" i="4" s="1"/>
  <c r="H43" i="5"/>
  <c r="G44" i="5"/>
  <c r="F52" i="3"/>
  <c r="Z4" i="4"/>
  <c r="Z9" i="4" s="1"/>
  <c r="Z2" i="5"/>
  <c r="W9" i="5" s="1"/>
  <c r="L13" i="3"/>
  <c r="Q19" i="3" s="1"/>
  <c r="R19" i="3" s="1"/>
  <c r="S19" i="3" s="1"/>
  <c r="T19" i="3" s="1"/>
  <c r="U19" i="3" s="1"/>
  <c r="Z3" i="4"/>
  <c r="AC9" i="4" s="1"/>
  <c r="AC10" i="4" s="1"/>
  <c r="AC11" i="4" s="1"/>
  <c r="AC12" i="4" s="1"/>
  <c r="AC13" i="4" s="1"/>
  <c r="AC14" i="4" s="1"/>
  <c r="AC15" i="4" s="1"/>
  <c r="AC16" i="4" s="1"/>
  <c r="AC17" i="4" s="1"/>
  <c r="AC18" i="4" s="1"/>
  <c r="AC19" i="4" s="1"/>
  <c r="AC20" i="4" s="1"/>
  <c r="Q85" i="3"/>
  <c r="Y5" i="4"/>
  <c r="R54" i="4"/>
  <c r="S54" i="4" s="1"/>
  <c r="T54" i="4" s="1"/>
  <c r="U54" i="4" s="1"/>
  <c r="V54" i="4" s="1"/>
  <c r="R101" i="3"/>
  <c r="S101" i="3" s="1"/>
  <c r="T101" i="3" s="1"/>
  <c r="U101" i="3" s="1"/>
  <c r="V101" i="3" s="1"/>
  <c r="W101" i="3" s="1"/>
  <c r="R105" i="3"/>
  <c r="S105" i="3" s="1"/>
  <c r="T105" i="3" s="1"/>
  <c r="U105" i="3" s="1"/>
  <c r="V105" i="3" s="1"/>
  <c r="W105" i="3" s="1"/>
  <c r="Q14" i="5"/>
  <c r="Q15" i="5"/>
  <c r="Q16" i="5"/>
  <c r="S55" i="5"/>
  <c r="R56" i="5"/>
  <c r="S31" i="5" s="1"/>
  <c r="P11" i="4"/>
  <c r="Q11" i="4" s="1"/>
  <c r="P19" i="4"/>
  <c r="Q19" i="4" s="1"/>
  <c r="R19" i="4" s="1"/>
  <c r="P20" i="4"/>
  <c r="Q20" i="4" s="1"/>
  <c r="R33" i="4"/>
  <c r="R30" i="4"/>
  <c r="R35" i="4"/>
  <c r="Q52" i="4"/>
  <c r="R52" i="4" s="1"/>
  <c r="S52" i="4" s="1"/>
  <c r="T52" i="4" s="1"/>
  <c r="U52" i="4" s="1"/>
  <c r="V52" i="4" s="1"/>
  <c r="W52" i="4" s="1"/>
  <c r="R55" i="4"/>
  <c r="R45" i="4"/>
  <c r="S45" i="4" s="1"/>
  <c r="T45" i="4" s="1"/>
  <c r="U45" i="4" s="1"/>
  <c r="V45" i="4" s="1"/>
  <c r="W45" i="4" s="1"/>
  <c r="Q85" i="4"/>
  <c r="Q90" i="4"/>
  <c r="Q92" i="4"/>
  <c r="Q89" i="4"/>
  <c r="Q87" i="4"/>
  <c r="Q86" i="4"/>
  <c r="Q94" i="4"/>
  <c r="Q84" i="4"/>
  <c r="Q10" i="5"/>
  <c r="Q11" i="5"/>
  <c r="F52" i="5"/>
  <c r="Q52" i="5"/>
  <c r="R52" i="5" s="1"/>
  <c r="S52" i="5" s="1"/>
  <c r="T52" i="5" s="1"/>
  <c r="U52" i="5" s="1"/>
  <c r="V52" i="5" s="1"/>
  <c r="W52" i="5" s="1"/>
  <c r="R110" i="5"/>
  <c r="R102" i="4"/>
  <c r="P19" i="5"/>
  <c r="Q19" i="5" s="1"/>
  <c r="P21" i="5"/>
  <c r="Q49" i="5"/>
  <c r="R49" i="5" s="1"/>
  <c r="S49" i="5" s="1"/>
  <c r="T49" i="5" s="1"/>
  <c r="U49" i="5" s="1"/>
  <c r="V49" i="5" s="1"/>
  <c r="W49" i="5" s="1"/>
  <c r="F49" i="5"/>
  <c r="Q90" i="5"/>
  <c r="Q84" i="5"/>
  <c r="Q87" i="5"/>
  <c r="Q83" i="5"/>
  <c r="Q95" i="5" s="1"/>
  <c r="Q92" i="5"/>
  <c r="Q89" i="5"/>
  <c r="S85" i="5"/>
  <c r="Q94" i="5"/>
  <c r="Q93" i="5"/>
  <c r="Q88" i="5"/>
  <c r="Q91" i="5"/>
  <c r="R102" i="5"/>
  <c r="S102" i="5" s="1"/>
  <c r="T102" i="5" s="1"/>
  <c r="U102" i="5" s="1"/>
  <c r="V102" i="5" s="1"/>
  <c r="W102" i="5" s="1"/>
  <c r="Q17" i="5"/>
  <c r="R17" i="5" s="1"/>
  <c r="Q20" i="5"/>
  <c r="P13" i="5"/>
  <c r="Q13" i="5" s="1"/>
  <c r="R13" i="5" s="1"/>
  <c r="F50" i="5"/>
  <c r="Q50" i="5"/>
  <c r="R50" i="5" s="1"/>
  <c r="S50" i="5" s="1"/>
  <c r="T50" i="5" s="1"/>
  <c r="U50" i="5" s="1"/>
  <c r="V50" i="5" s="1"/>
  <c r="W50" i="5" s="1"/>
  <c r="F54" i="5"/>
  <c r="Q54" i="5"/>
  <c r="R54" i="5" s="1"/>
  <c r="S54" i="5" s="1"/>
  <c r="T54" i="5" s="1"/>
  <c r="U54" i="5" s="1"/>
  <c r="V54" i="5" s="1"/>
  <c r="W54" i="5" s="1"/>
  <c r="Q37" i="5"/>
  <c r="Q31" i="5"/>
  <c r="Q36" i="5"/>
  <c r="S30" i="5"/>
  <c r="Q30" i="5"/>
  <c r="Q38" i="5"/>
  <c r="Q33" i="5"/>
  <c r="R87" i="5"/>
  <c r="R86" i="5"/>
  <c r="R90" i="5"/>
  <c r="R89" i="5"/>
  <c r="R85" i="5"/>
  <c r="R101" i="5" s="1"/>
  <c r="S101" i="5" s="1"/>
  <c r="T101" i="5" s="1"/>
  <c r="U101" i="5" s="1"/>
  <c r="V101" i="5" s="1"/>
  <c r="W101" i="5" s="1"/>
  <c r="R109" i="5"/>
  <c r="S109" i="5" s="1"/>
  <c r="T109" i="5" s="1"/>
  <c r="U109" i="5" s="1"/>
  <c r="V109" i="5" s="1"/>
  <c r="W109" i="5" s="1"/>
  <c r="O22" i="5"/>
  <c r="L16" i="5"/>
  <c r="L14" i="5"/>
  <c r="R18" i="5" s="1"/>
  <c r="S18" i="5" s="1"/>
  <c r="T18" i="5" s="1"/>
  <c r="U18" i="5" s="1"/>
  <c r="R51" i="5"/>
  <c r="S51" i="5" s="1"/>
  <c r="T51" i="5" s="1"/>
  <c r="U51" i="5" s="1"/>
  <c r="V51" i="5" s="1"/>
  <c r="W51" i="5" s="1"/>
  <c r="R53" i="5"/>
  <c r="S53" i="5" s="1"/>
  <c r="T53" i="5" s="1"/>
  <c r="U53" i="5" s="1"/>
  <c r="V53" i="5" s="1"/>
  <c r="W53" i="5" s="1"/>
  <c r="E57" i="5"/>
  <c r="E58" i="5" s="1"/>
  <c r="R106" i="5"/>
  <c r="S106" i="5" s="1"/>
  <c r="T106" i="5" s="1"/>
  <c r="U106" i="5" s="1"/>
  <c r="V106" i="5" s="1"/>
  <c r="W106" i="5" s="1"/>
  <c r="R86" i="4"/>
  <c r="S103" i="4" s="1"/>
  <c r="T103" i="4" s="1"/>
  <c r="U103" i="4" s="1"/>
  <c r="V103" i="4" s="1"/>
  <c r="W103" i="4" s="1"/>
  <c r="R99" i="4"/>
  <c r="L17" i="5"/>
  <c r="L15" i="5"/>
  <c r="R45" i="5"/>
  <c r="S45" i="5" s="1"/>
  <c r="T45" i="5" s="1"/>
  <c r="U45" i="5" s="1"/>
  <c r="V45" i="5" s="1"/>
  <c r="W45" i="5" s="1"/>
  <c r="R103" i="5"/>
  <c r="S103" i="5" s="1"/>
  <c r="T103" i="5" s="1"/>
  <c r="U103" i="5" s="1"/>
  <c r="V103" i="5" s="1"/>
  <c r="W103" i="5" s="1"/>
  <c r="F42" i="1"/>
  <c r="M28" i="1" s="1"/>
  <c r="E28" i="1"/>
  <c r="F40" i="1"/>
  <c r="K28" i="1" s="1"/>
  <c r="S55" i="3" l="1"/>
  <c r="R56" i="3"/>
  <c r="S31" i="3" s="1"/>
  <c r="S107" i="4"/>
  <c r="T107" i="4" s="1"/>
  <c r="U107" i="4" s="1"/>
  <c r="V107" i="4" s="1"/>
  <c r="W107" i="4" s="1"/>
  <c r="W109" i="2"/>
  <c r="R19" i="2"/>
  <c r="S19" i="2" s="1"/>
  <c r="T19" i="2" s="1"/>
  <c r="U19" i="2" s="1"/>
  <c r="W108" i="2"/>
  <c r="P22" i="3"/>
  <c r="M13" i="3" s="1"/>
  <c r="Q21" i="3"/>
  <c r="S100" i="4"/>
  <c r="T100" i="4" s="1"/>
  <c r="U100" i="4" s="1"/>
  <c r="V100" i="4" s="1"/>
  <c r="W100" i="4" s="1"/>
  <c r="W99" i="2"/>
  <c r="F10" i="2"/>
  <c r="H10" i="2" s="1"/>
  <c r="F10" i="6" s="1"/>
  <c r="F11" i="6" s="1"/>
  <c r="F4" i="6" s="1"/>
  <c r="E11" i="2"/>
  <c r="R107" i="5"/>
  <c r="S107" i="5" s="1"/>
  <c r="T107" i="5" s="1"/>
  <c r="U107" i="5" s="1"/>
  <c r="V107" i="5" s="1"/>
  <c r="W107" i="5" s="1"/>
  <c r="S13" i="5"/>
  <c r="T13" i="5" s="1"/>
  <c r="U13" i="5" s="1"/>
  <c r="W54" i="4"/>
  <c r="W10" i="5"/>
  <c r="X9" i="5"/>
  <c r="R15" i="4"/>
  <c r="S15" i="4" s="1"/>
  <c r="T15" i="4" s="1"/>
  <c r="U15" i="4" s="1"/>
  <c r="R12" i="5"/>
  <c r="S12" i="5" s="1"/>
  <c r="T12" i="5" s="1"/>
  <c r="U12" i="5" s="1"/>
  <c r="S110" i="2"/>
  <c r="R111" i="2"/>
  <c r="S86" i="2" s="1"/>
  <c r="F10" i="4"/>
  <c r="H10" i="4" s="1"/>
  <c r="F26" i="6" s="1"/>
  <c r="F27" i="6" s="1"/>
  <c r="E11" i="4"/>
  <c r="R101" i="2"/>
  <c r="S101" i="2" s="1"/>
  <c r="T101" i="2" s="1"/>
  <c r="U101" i="2" s="1"/>
  <c r="V101" i="2" s="1"/>
  <c r="W101" i="2" s="1"/>
  <c r="R106" i="2"/>
  <c r="S106" i="2" s="1"/>
  <c r="T106" i="2" s="1"/>
  <c r="U106" i="2" s="1"/>
  <c r="V106" i="2" s="1"/>
  <c r="W106" i="2" s="1"/>
  <c r="R105" i="2"/>
  <c r="S105" i="2" s="1"/>
  <c r="T105" i="2" s="1"/>
  <c r="U105" i="2" s="1"/>
  <c r="V105" i="2" s="1"/>
  <c r="W105" i="2" s="1"/>
  <c r="R107" i="2"/>
  <c r="S107" i="2" s="1"/>
  <c r="T107" i="2" s="1"/>
  <c r="U107" i="2" s="1"/>
  <c r="V107" i="2" s="1"/>
  <c r="W107" i="2" s="1"/>
  <c r="S108" i="4"/>
  <c r="T108" i="4" s="1"/>
  <c r="U108" i="4" s="1"/>
  <c r="V108" i="4" s="1"/>
  <c r="W108" i="4" s="1"/>
  <c r="H45" i="3"/>
  <c r="G46" i="3"/>
  <c r="Q16" i="2"/>
  <c r="R16" i="2" s="1"/>
  <c r="S16" i="2" s="1"/>
  <c r="T16" i="2" s="1"/>
  <c r="U16" i="2" s="1"/>
  <c r="Q14" i="2"/>
  <c r="R14" i="2" s="1"/>
  <c r="S14" i="2" s="1"/>
  <c r="T14" i="2" s="1"/>
  <c r="U14" i="2" s="1"/>
  <c r="K12" i="5"/>
  <c r="K21" i="5"/>
  <c r="K19" i="5"/>
  <c r="K17" i="5"/>
  <c r="K15" i="5"/>
  <c r="M12" i="5"/>
  <c r="K18" i="5"/>
  <c r="K13" i="5"/>
  <c r="K16" i="5"/>
  <c r="K10" i="5"/>
  <c r="K22" i="5" s="1"/>
  <c r="K14" i="5"/>
  <c r="K20" i="5"/>
  <c r="K11" i="5"/>
  <c r="S110" i="5"/>
  <c r="R111" i="5"/>
  <c r="S86" i="5" s="1"/>
  <c r="S14" i="4"/>
  <c r="T14" i="4" s="1"/>
  <c r="U14" i="4" s="1"/>
  <c r="T45" i="3"/>
  <c r="U45" i="3" s="1"/>
  <c r="V45" i="3" s="1"/>
  <c r="W45" i="3" s="1"/>
  <c r="R10" i="2"/>
  <c r="S10" i="2" s="1"/>
  <c r="T10" i="2" s="1"/>
  <c r="U10" i="2" s="1"/>
  <c r="Q21" i="2"/>
  <c r="R105" i="5"/>
  <c r="S105" i="5" s="1"/>
  <c r="T105" i="5" s="1"/>
  <c r="U105" i="5" s="1"/>
  <c r="V105" i="5" s="1"/>
  <c r="W105" i="5" s="1"/>
  <c r="R20" i="5"/>
  <c r="S20" i="5" s="1"/>
  <c r="T20" i="5" s="1"/>
  <c r="U20" i="5" s="1"/>
  <c r="R11" i="5"/>
  <c r="S11" i="5" s="1"/>
  <c r="T11" i="5" s="1"/>
  <c r="U11" i="5" s="1"/>
  <c r="R48" i="4"/>
  <c r="S48" i="4" s="1"/>
  <c r="T48" i="4" s="1"/>
  <c r="U48" i="4" s="1"/>
  <c r="V48" i="4" s="1"/>
  <c r="W48" i="4" s="1"/>
  <c r="R47" i="4"/>
  <c r="S47" i="4" s="1"/>
  <c r="T47" i="4" s="1"/>
  <c r="U47" i="4" s="1"/>
  <c r="V47" i="4" s="1"/>
  <c r="W47" i="4" s="1"/>
  <c r="R53" i="4"/>
  <c r="S53" i="4" s="1"/>
  <c r="T53" i="4" s="1"/>
  <c r="U53" i="4" s="1"/>
  <c r="V53" i="4" s="1"/>
  <c r="W53" i="4" s="1"/>
  <c r="S56" i="5"/>
  <c r="S32" i="5" s="1"/>
  <c r="T55" i="5"/>
  <c r="R51" i="4"/>
  <c r="S51" i="4" s="1"/>
  <c r="T51" i="4" s="1"/>
  <c r="U51" i="4" s="1"/>
  <c r="V51" i="4" s="1"/>
  <c r="W51" i="4" s="1"/>
  <c r="AA9" i="4"/>
  <c r="Z10" i="4"/>
  <c r="W10" i="4"/>
  <c r="X9" i="4"/>
  <c r="F11" i="5"/>
  <c r="H11" i="5" s="1"/>
  <c r="G34" i="6" s="1"/>
  <c r="G35" i="6" s="1"/>
  <c r="E12" i="5"/>
  <c r="G96" i="5"/>
  <c r="H95" i="5"/>
  <c r="F33" i="6" s="1"/>
  <c r="K18" i="4"/>
  <c r="K21" i="4"/>
  <c r="K19" i="4"/>
  <c r="K17" i="4"/>
  <c r="K15" i="4"/>
  <c r="K14" i="4"/>
  <c r="K13" i="4"/>
  <c r="M12" i="4"/>
  <c r="K20" i="4"/>
  <c r="K16" i="4"/>
  <c r="K12" i="4"/>
  <c r="K11" i="4"/>
  <c r="K10" i="4"/>
  <c r="K22" i="4" s="1"/>
  <c r="R102" i="2"/>
  <c r="S102" i="2" s="1"/>
  <c r="T102" i="2" s="1"/>
  <c r="U102" i="2" s="1"/>
  <c r="V102" i="2" s="1"/>
  <c r="W102" i="2" s="1"/>
  <c r="R103" i="2"/>
  <c r="S103" i="2" s="1"/>
  <c r="T103" i="2" s="1"/>
  <c r="U103" i="2" s="1"/>
  <c r="V103" i="2" s="1"/>
  <c r="W103" i="2" s="1"/>
  <c r="Q13" i="3"/>
  <c r="R13" i="3" s="1"/>
  <c r="S13" i="3" s="1"/>
  <c r="T13" i="3" s="1"/>
  <c r="U13" i="3" s="1"/>
  <c r="Q11" i="3"/>
  <c r="R11" i="3" s="1"/>
  <c r="S11" i="3" s="1"/>
  <c r="T11" i="3" s="1"/>
  <c r="U11" i="3" s="1"/>
  <c r="Q11" i="2"/>
  <c r="R11" i="2" s="1"/>
  <c r="S11" i="2" s="1"/>
  <c r="T11" i="2" s="1"/>
  <c r="U11" i="2" s="1"/>
  <c r="S55" i="4"/>
  <c r="R56" i="4"/>
  <c r="S31" i="4" s="1"/>
  <c r="G97" i="2"/>
  <c r="H96" i="2"/>
  <c r="G9" i="6" s="1"/>
  <c r="S106" i="4"/>
  <c r="T106" i="4" s="1"/>
  <c r="U106" i="4" s="1"/>
  <c r="V106" i="4" s="1"/>
  <c r="W106" i="4" s="1"/>
  <c r="Q12" i="2"/>
  <c r="R12" i="2" s="1"/>
  <c r="S12" i="2" s="1"/>
  <c r="T12" i="2" s="1"/>
  <c r="U12" i="2" s="1"/>
  <c r="S17" i="5"/>
  <c r="T17" i="5" s="1"/>
  <c r="U17" i="5" s="1"/>
  <c r="R10" i="5"/>
  <c r="S10" i="5" s="1"/>
  <c r="T10" i="5" s="1"/>
  <c r="U10" i="5" s="1"/>
  <c r="R16" i="5"/>
  <c r="S16" i="5" s="1"/>
  <c r="T16" i="5" s="1"/>
  <c r="U16" i="5" s="1"/>
  <c r="R50" i="4"/>
  <c r="S50" i="4" s="1"/>
  <c r="T50" i="4" s="1"/>
  <c r="U50" i="4" s="1"/>
  <c r="V50" i="4" s="1"/>
  <c r="W50" i="4" s="1"/>
  <c r="R102" i="3"/>
  <c r="S102" i="3" s="1"/>
  <c r="T102" i="3" s="1"/>
  <c r="U102" i="3" s="1"/>
  <c r="V102" i="3" s="1"/>
  <c r="W102" i="3" s="1"/>
  <c r="R108" i="3"/>
  <c r="S108" i="3" s="1"/>
  <c r="T108" i="3" s="1"/>
  <c r="U108" i="3" s="1"/>
  <c r="V108" i="3" s="1"/>
  <c r="W108" i="3" s="1"/>
  <c r="Q12" i="3"/>
  <c r="R12" i="3" s="1"/>
  <c r="S12" i="3" s="1"/>
  <c r="T12" i="3" s="1"/>
  <c r="U12" i="3" s="1"/>
  <c r="G96" i="3"/>
  <c r="H95" i="3"/>
  <c r="F17" i="6" s="1"/>
  <c r="Q14" i="3"/>
  <c r="R14" i="3" s="1"/>
  <c r="S14" i="3" s="1"/>
  <c r="T14" i="3" s="1"/>
  <c r="U14" i="3" s="1"/>
  <c r="R104" i="2"/>
  <c r="S104" i="2" s="1"/>
  <c r="T104" i="2" s="1"/>
  <c r="U104" i="2" s="1"/>
  <c r="V104" i="2" s="1"/>
  <c r="W104" i="2" s="1"/>
  <c r="Q20" i="3"/>
  <c r="R20" i="3" s="1"/>
  <c r="S20" i="3" s="1"/>
  <c r="T20" i="3" s="1"/>
  <c r="U20" i="3" s="1"/>
  <c r="Z5" i="5"/>
  <c r="Z4" i="5"/>
  <c r="Z9" i="5" s="1"/>
  <c r="Q10" i="3"/>
  <c r="R10" i="3" s="1"/>
  <c r="S10" i="3" s="1"/>
  <c r="T10" i="3" s="1"/>
  <c r="U10" i="3" s="1"/>
  <c r="Z3" i="3"/>
  <c r="AC9" i="3" s="1"/>
  <c r="AC10" i="3" s="1"/>
  <c r="AC11" i="3" s="1"/>
  <c r="AC12" i="3" s="1"/>
  <c r="AC13" i="3" s="1"/>
  <c r="AC14" i="3" s="1"/>
  <c r="AC15" i="3" s="1"/>
  <c r="AC16" i="3" s="1"/>
  <c r="AC17" i="3" s="1"/>
  <c r="AC18" i="3" s="1"/>
  <c r="AC19" i="3" s="1"/>
  <c r="AC20" i="3" s="1"/>
  <c r="S19" i="4"/>
  <c r="T19" i="4" s="1"/>
  <c r="U19" i="4" s="1"/>
  <c r="R100" i="5"/>
  <c r="S100" i="5" s="1"/>
  <c r="T100" i="5" s="1"/>
  <c r="U100" i="5" s="1"/>
  <c r="V100" i="5" s="1"/>
  <c r="W100" i="5" s="1"/>
  <c r="R11" i="4"/>
  <c r="S11" i="4" s="1"/>
  <c r="T11" i="4" s="1"/>
  <c r="U11" i="4" s="1"/>
  <c r="R48" i="3"/>
  <c r="S48" i="3" s="1"/>
  <c r="T48" i="3" s="1"/>
  <c r="U48" i="3" s="1"/>
  <c r="V48" i="3" s="1"/>
  <c r="W48" i="3" s="1"/>
  <c r="R44" i="3"/>
  <c r="S44" i="3" s="1"/>
  <c r="T44" i="3" s="1"/>
  <c r="U44" i="3" s="1"/>
  <c r="V44" i="3" s="1"/>
  <c r="W44" i="3" s="1"/>
  <c r="R47" i="3"/>
  <c r="S47" i="3" s="1"/>
  <c r="T47" i="3" s="1"/>
  <c r="U47" i="3" s="1"/>
  <c r="V47" i="3" s="1"/>
  <c r="W47" i="3" s="1"/>
  <c r="R52" i="3"/>
  <c r="S52" i="3" s="1"/>
  <c r="T52" i="3" s="1"/>
  <c r="U52" i="3" s="1"/>
  <c r="V52" i="3" s="1"/>
  <c r="W52" i="3" s="1"/>
  <c r="R50" i="3"/>
  <c r="S50" i="3" s="1"/>
  <c r="T50" i="3" s="1"/>
  <c r="U50" i="3" s="1"/>
  <c r="V50" i="3" s="1"/>
  <c r="W50" i="3" s="1"/>
  <c r="R53" i="3"/>
  <c r="S53" i="3" s="1"/>
  <c r="T53" i="3" s="1"/>
  <c r="U53" i="3" s="1"/>
  <c r="V53" i="3" s="1"/>
  <c r="W53" i="3" s="1"/>
  <c r="R51" i="3"/>
  <c r="S51" i="3" s="1"/>
  <c r="T51" i="3" s="1"/>
  <c r="U51" i="3" s="1"/>
  <c r="V51" i="3" s="1"/>
  <c r="W51" i="3" s="1"/>
  <c r="R108" i="5"/>
  <c r="S108" i="5" s="1"/>
  <c r="T108" i="5" s="1"/>
  <c r="U108" i="5" s="1"/>
  <c r="V108" i="5" s="1"/>
  <c r="W108" i="5" s="1"/>
  <c r="R99" i="5"/>
  <c r="S99" i="5" s="1"/>
  <c r="T99" i="5" s="1"/>
  <c r="U99" i="5" s="1"/>
  <c r="V99" i="5" s="1"/>
  <c r="W99" i="5" s="1"/>
  <c r="S109" i="4"/>
  <c r="T109" i="4" s="1"/>
  <c r="U109" i="4" s="1"/>
  <c r="V109" i="4" s="1"/>
  <c r="W109" i="4" s="1"/>
  <c r="P22" i="5"/>
  <c r="M13" i="5" s="1"/>
  <c r="Q21" i="5"/>
  <c r="R20" i="4"/>
  <c r="S20" i="4" s="1"/>
  <c r="T20" i="4" s="1"/>
  <c r="U20" i="4" s="1"/>
  <c r="R15" i="5"/>
  <c r="S15" i="5" s="1"/>
  <c r="T15" i="5" s="1"/>
  <c r="U15" i="5" s="1"/>
  <c r="K19" i="3"/>
  <c r="K14" i="3"/>
  <c r="M12" i="3"/>
  <c r="K10" i="3"/>
  <c r="K22" i="3" s="1"/>
  <c r="K17" i="3"/>
  <c r="K21" i="3"/>
  <c r="K18" i="3"/>
  <c r="K12" i="3"/>
  <c r="K15" i="3"/>
  <c r="K13" i="3"/>
  <c r="K16" i="3"/>
  <c r="K20" i="3"/>
  <c r="K11" i="3"/>
  <c r="R46" i="4"/>
  <c r="S46" i="4" s="1"/>
  <c r="T46" i="4" s="1"/>
  <c r="U46" i="4" s="1"/>
  <c r="V46" i="4" s="1"/>
  <c r="W46" i="4" s="1"/>
  <c r="P18" i="4"/>
  <c r="Q18" i="4" s="1"/>
  <c r="R18" i="4" s="1"/>
  <c r="S18" i="4" s="1"/>
  <c r="T18" i="4" s="1"/>
  <c r="U18" i="4" s="1"/>
  <c r="P10" i="4"/>
  <c r="Q10" i="4" s="1"/>
  <c r="R10" i="4" s="1"/>
  <c r="S10" i="4" s="1"/>
  <c r="T10" i="4" s="1"/>
  <c r="U10" i="4" s="1"/>
  <c r="P16" i="4"/>
  <c r="Q16" i="4" s="1"/>
  <c r="R16" i="4" s="1"/>
  <c r="S16" i="4" s="1"/>
  <c r="T16" i="4" s="1"/>
  <c r="U16" i="4" s="1"/>
  <c r="P12" i="4"/>
  <c r="Q12" i="4" s="1"/>
  <c r="R12" i="4" s="1"/>
  <c r="S12" i="4" s="1"/>
  <c r="T12" i="4" s="1"/>
  <c r="U12" i="4" s="1"/>
  <c r="P13" i="4"/>
  <c r="Q13" i="4" s="1"/>
  <c r="R13" i="4" s="1"/>
  <c r="S13" i="4" s="1"/>
  <c r="T13" i="4" s="1"/>
  <c r="U13" i="4" s="1"/>
  <c r="P17" i="4"/>
  <c r="Q17" i="4" s="1"/>
  <c r="R17" i="4" s="1"/>
  <c r="S17" i="4" s="1"/>
  <c r="T17" i="4" s="1"/>
  <c r="U17" i="4" s="1"/>
  <c r="Q15" i="3"/>
  <c r="R15" i="3" s="1"/>
  <c r="S15" i="3" s="1"/>
  <c r="T15" i="3" s="1"/>
  <c r="U15" i="3" s="1"/>
  <c r="Q17" i="2"/>
  <c r="R17" i="2" s="1"/>
  <c r="S17" i="2" s="1"/>
  <c r="T17" i="2" s="1"/>
  <c r="U17" i="2" s="1"/>
  <c r="R100" i="2"/>
  <c r="S100" i="2" s="1"/>
  <c r="T100" i="2" s="1"/>
  <c r="U100" i="2" s="1"/>
  <c r="V100" i="2" s="1"/>
  <c r="W100" i="2" s="1"/>
  <c r="R54" i="3"/>
  <c r="S54" i="3" s="1"/>
  <c r="T54" i="3" s="1"/>
  <c r="U54" i="3" s="1"/>
  <c r="V54" i="3" s="1"/>
  <c r="W54" i="3" s="1"/>
  <c r="Q18" i="2"/>
  <c r="R18" i="2" s="1"/>
  <c r="S18" i="2" s="1"/>
  <c r="T18" i="2" s="1"/>
  <c r="U18" i="2" s="1"/>
  <c r="T55" i="2"/>
  <c r="S56" i="2"/>
  <c r="S32" i="2" s="1"/>
  <c r="S104" i="4"/>
  <c r="T104" i="4" s="1"/>
  <c r="U104" i="4" s="1"/>
  <c r="V104" i="4" s="1"/>
  <c r="W104" i="4" s="1"/>
  <c r="S105" i="4"/>
  <c r="T105" i="4" s="1"/>
  <c r="U105" i="4" s="1"/>
  <c r="V105" i="4" s="1"/>
  <c r="W105" i="4" s="1"/>
  <c r="S102" i="4"/>
  <c r="T102" i="4" s="1"/>
  <c r="U102" i="4" s="1"/>
  <c r="V102" i="4" s="1"/>
  <c r="W102" i="4" s="1"/>
  <c r="R20" i="2"/>
  <c r="S20" i="2" s="1"/>
  <c r="T20" i="2" s="1"/>
  <c r="U20" i="2" s="1"/>
  <c r="R110" i="3"/>
  <c r="R103" i="3"/>
  <c r="S103" i="3" s="1"/>
  <c r="T103" i="3" s="1"/>
  <c r="U103" i="3" s="1"/>
  <c r="V103" i="3" s="1"/>
  <c r="W103" i="3" s="1"/>
  <c r="R100" i="3"/>
  <c r="S100" i="3" s="1"/>
  <c r="T100" i="3" s="1"/>
  <c r="U100" i="3" s="1"/>
  <c r="V100" i="3" s="1"/>
  <c r="W100" i="3" s="1"/>
  <c r="R104" i="3"/>
  <c r="S104" i="3" s="1"/>
  <c r="T104" i="3" s="1"/>
  <c r="U104" i="3" s="1"/>
  <c r="V104" i="3" s="1"/>
  <c r="W104" i="3" s="1"/>
  <c r="S110" i="4"/>
  <c r="R46" i="3"/>
  <c r="S46" i="3" s="1"/>
  <c r="T46" i="3" s="1"/>
  <c r="U46" i="3" s="1"/>
  <c r="V46" i="3" s="1"/>
  <c r="W46" i="3" s="1"/>
  <c r="G46" i="4"/>
  <c r="H45" i="4"/>
  <c r="S99" i="4"/>
  <c r="T99" i="4" s="1"/>
  <c r="U99" i="4" s="1"/>
  <c r="V99" i="4" s="1"/>
  <c r="W99" i="4" s="1"/>
  <c r="R104" i="5"/>
  <c r="S104" i="5" s="1"/>
  <c r="T104" i="5" s="1"/>
  <c r="U104" i="5" s="1"/>
  <c r="V104" i="5" s="1"/>
  <c r="W104" i="5" s="1"/>
  <c r="R19" i="5"/>
  <c r="S19" i="5" s="1"/>
  <c r="T19" i="5" s="1"/>
  <c r="U19" i="5" s="1"/>
  <c r="S101" i="4"/>
  <c r="T101" i="4" s="1"/>
  <c r="U101" i="4" s="1"/>
  <c r="V101" i="4" s="1"/>
  <c r="W101" i="4" s="1"/>
  <c r="R107" i="3"/>
  <c r="S107" i="3" s="1"/>
  <c r="T107" i="3" s="1"/>
  <c r="U107" i="3" s="1"/>
  <c r="V107" i="3" s="1"/>
  <c r="W107" i="3" s="1"/>
  <c r="R14" i="5"/>
  <c r="S14" i="5" s="1"/>
  <c r="T14" i="5" s="1"/>
  <c r="U14" i="5" s="1"/>
  <c r="R109" i="3"/>
  <c r="S109" i="3" s="1"/>
  <c r="T109" i="3" s="1"/>
  <c r="U109" i="3" s="1"/>
  <c r="V109" i="3" s="1"/>
  <c r="W109" i="3" s="1"/>
  <c r="G45" i="5"/>
  <c r="H44" i="5"/>
  <c r="G96" i="4"/>
  <c r="H95" i="4"/>
  <c r="F25" i="6" s="1"/>
  <c r="Q17" i="3"/>
  <c r="R17" i="3" s="1"/>
  <c r="S17" i="3" s="1"/>
  <c r="T17" i="3" s="1"/>
  <c r="U17" i="3" s="1"/>
  <c r="F10" i="3"/>
  <c r="H10" i="3" s="1"/>
  <c r="F18" i="6" s="1"/>
  <c r="F19" i="6" s="1"/>
  <c r="E11" i="3"/>
  <c r="Z4" i="3"/>
  <c r="Z9" i="3" s="1"/>
  <c r="Q16" i="3"/>
  <c r="R16" i="3" s="1"/>
  <c r="S16" i="3" s="1"/>
  <c r="T16" i="3" s="1"/>
  <c r="U16" i="3" s="1"/>
  <c r="R44" i="4"/>
  <c r="S44" i="4" s="1"/>
  <c r="T44" i="4" s="1"/>
  <c r="U44" i="4" s="1"/>
  <c r="V44" i="4" s="1"/>
  <c r="W44" i="4" s="1"/>
  <c r="P21" i="4"/>
  <c r="Z2" i="3"/>
  <c r="W9" i="3" s="1"/>
  <c r="AA5" i="2"/>
  <c r="Z3" i="2" s="1"/>
  <c r="AC9" i="2" s="1"/>
  <c r="H44" i="2"/>
  <c r="G45" i="2"/>
  <c r="AC10" i="2" l="1"/>
  <c r="AD9" i="2"/>
  <c r="W10" i="3"/>
  <c r="X9" i="3"/>
  <c r="W11" i="5"/>
  <c r="X10" i="5"/>
  <c r="Q22" i="3"/>
  <c r="M14" i="3" s="1"/>
  <c r="R21" i="3"/>
  <c r="P22" i="4"/>
  <c r="M13" i="4" s="1"/>
  <c r="Q21" i="4"/>
  <c r="H96" i="4"/>
  <c r="G25" i="6" s="1"/>
  <c r="G97" i="4"/>
  <c r="S56" i="4"/>
  <c r="S32" i="4" s="1"/>
  <c r="T55" i="4"/>
  <c r="X10" i="4"/>
  <c r="W11" i="4"/>
  <c r="E12" i="4"/>
  <c r="F11" i="4"/>
  <c r="H11" i="4" s="1"/>
  <c r="G26" i="6" s="1"/>
  <c r="G27" i="6" s="1"/>
  <c r="AA10" i="4"/>
  <c r="Z11" i="4"/>
  <c r="S111" i="5"/>
  <c r="S87" i="5" s="1"/>
  <c r="T110" i="5"/>
  <c r="H45" i="5"/>
  <c r="G46" i="5"/>
  <c r="G9" i="4"/>
  <c r="H46" i="4"/>
  <c r="G47" i="4"/>
  <c r="H96" i="3"/>
  <c r="G17" i="6" s="1"/>
  <c r="G97" i="3"/>
  <c r="T110" i="2"/>
  <c r="S111" i="2"/>
  <c r="S87" i="2" s="1"/>
  <c r="F11" i="2"/>
  <c r="H11" i="2" s="1"/>
  <c r="G10" i="6" s="1"/>
  <c r="G11" i="6" s="1"/>
  <c r="G4" i="6" s="1"/>
  <c r="E12" i="2"/>
  <c r="S110" i="3"/>
  <c r="R111" i="3"/>
  <c r="S86" i="3" s="1"/>
  <c r="H45" i="2"/>
  <c r="G46" i="2"/>
  <c r="R21" i="5"/>
  <c r="Q22" i="5"/>
  <c r="M14" i="5" s="1"/>
  <c r="H96" i="5"/>
  <c r="G33" i="6" s="1"/>
  <c r="G97" i="5"/>
  <c r="U55" i="5"/>
  <c r="T56" i="5"/>
  <c r="S33" i="5" s="1"/>
  <c r="R21" i="2"/>
  <c r="Q22" i="2"/>
  <c r="M14" i="2" s="1"/>
  <c r="AA9" i="3"/>
  <c r="G9" i="3" s="1"/>
  <c r="Z10" i="3"/>
  <c r="T110" i="4"/>
  <c r="S111" i="4"/>
  <c r="S87" i="4" s="1"/>
  <c r="AA9" i="5"/>
  <c r="G9" i="5" s="1"/>
  <c r="Z10" i="5"/>
  <c r="E13" i="5"/>
  <c r="F12" i="5"/>
  <c r="H12" i="5" s="1"/>
  <c r="H34" i="6" s="1"/>
  <c r="H35" i="6" s="1"/>
  <c r="T56" i="2"/>
  <c r="S33" i="2" s="1"/>
  <c r="U55" i="2"/>
  <c r="G47" i="3"/>
  <c r="H46" i="3"/>
  <c r="F11" i="3"/>
  <c r="H11" i="3" s="1"/>
  <c r="G18" i="6" s="1"/>
  <c r="G19" i="6" s="1"/>
  <c r="E12" i="3"/>
  <c r="Z5" i="2"/>
  <c r="Z2" i="2"/>
  <c r="W9" i="2" s="1"/>
  <c r="Z4" i="2"/>
  <c r="Z9" i="2" s="1"/>
  <c r="H97" i="2"/>
  <c r="H9" i="6" s="1"/>
  <c r="G98" i="2"/>
  <c r="T55" i="3"/>
  <c r="S56" i="3"/>
  <c r="S32" i="3" s="1"/>
  <c r="G48" i="3" l="1"/>
  <c r="H47" i="3"/>
  <c r="V55" i="2"/>
  <c r="U56" i="2"/>
  <c r="S34" i="2" s="1"/>
  <c r="AA10" i="3"/>
  <c r="Z11" i="3"/>
  <c r="X9" i="2"/>
  <c r="W10" i="2"/>
  <c r="G47" i="2"/>
  <c r="H46" i="2"/>
  <c r="G98" i="3"/>
  <c r="H97" i="3"/>
  <c r="H17" i="6" s="1"/>
  <c r="X11" i="5"/>
  <c r="W12" i="5"/>
  <c r="X11" i="4"/>
  <c r="W12" i="4"/>
  <c r="U55" i="4"/>
  <c r="T56" i="4"/>
  <c r="S33" i="4" s="1"/>
  <c r="F13" i="5"/>
  <c r="H13" i="5" s="1"/>
  <c r="I34" i="6" s="1"/>
  <c r="I35" i="6" s="1"/>
  <c r="E14" i="5"/>
  <c r="R22" i="2"/>
  <c r="M15" i="2" s="1"/>
  <c r="S21" i="2"/>
  <c r="Z12" i="4"/>
  <c r="AA11" i="4"/>
  <c r="G11" i="4" s="1"/>
  <c r="H97" i="4"/>
  <c r="H25" i="6" s="1"/>
  <c r="G98" i="4"/>
  <c r="T111" i="4"/>
  <c r="S88" i="4" s="1"/>
  <c r="U110" i="4"/>
  <c r="G47" i="5"/>
  <c r="H46" i="5"/>
  <c r="AA9" i="2"/>
  <c r="G9" i="2" s="1"/>
  <c r="Z10" i="2"/>
  <c r="T111" i="5"/>
  <c r="S88" i="5" s="1"/>
  <c r="U110" i="5"/>
  <c r="E13" i="3"/>
  <c r="F12" i="3"/>
  <c r="H12" i="3" s="1"/>
  <c r="H18" i="6" s="1"/>
  <c r="H19" i="6" s="1"/>
  <c r="AA10" i="5"/>
  <c r="G10" i="5" s="1"/>
  <c r="Z11" i="5"/>
  <c r="H47" i="4"/>
  <c r="G48" i="4"/>
  <c r="G10" i="4"/>
  <c r="W11" i="3"/>
  <c r="X10" i="3"/>
  <c r="G99" i="2"/>
  <c r="H98" i="2"/>
  <c r="I9" i="6" s="1"/>
  <c r="R22" i="3"/>
  <c r="M15" i="3" s="1"/>
  <c r="S21" i="3"/>
  <c r="U110" i="2"/>
  <c r="T111" i="2"/>
  <c r="S88" i="2" s="1"/>
  <c r="V55" i="5"/>
  <c r="U56" i="5"/>
  <c r="S34" i="5" s="1"/>
  <c r="T110" i="3"/>
  <c r="S111" i="3"/>
  <c r="S87" i="3" s="1"/>
  <c r="Q22" i="4"/>
  <c r="M14" i="4" s="1"/>
  <c r="R21" i="4"/>
  <c r="S21" i="5"/>
  <c r="R22" i="5"/>
  <c r="M15" i="5" s="1"/>
  <c r="T56" i="3"/>
  <c r="S33" i="3" s="1"/>
  <c r="U55" i="3"/>
  <c r="H97" i="5"/>
  <c r="H33" i="6" s="1"/>
  <c r="G98" i="5"/>
  <c r="E13" i="2"/>
  <c r="F12" i="2"/>
  <c r="H12" i="2" s="1"/>
  <c r="H10" i="6" s="1"/>
  <c r="H11" i="6" s="1"/>
  <c r="H4" i="6" s="1"/>
  <c r="E13" i="4"/>
  <c r="F12" i="4"/>
  <c r="H12" i="4" s="1"/>
  <c r="H26" i="6" s="1"/>
  <c r="H27" i="6" s="1"/>
  <c r="AC11" i="2"/>
  <c r="AD10" i="2"/>
  <c r="G49" i="4" l="1"/>
  <c r="H48" i="4"/>
  <c r="Z13" i="4"/>
  <c r="AA12" i="4"/>
  <c r="F13" i="4"/>
  <c r="H13" i="4" s="1"/>
  <c r="I26" i="6" s="1"/>
  <c r="I27" i="6" s="1"/>
  <c r="E14" i="4"/>
  <c r="AA10" i="2"/>
  <c r="Z11" i="2"/>
  <c r="S22" i="3"/>
  <c r="M16" i="3" s="1"/>
  <c r="T21" i="3"/>
  <c r="AA11" i="5"/>
  <c r="G11" i="5" s="1"/>
  <c r="Z12" i="5"/>
  <c r="G48" i="5"/>
  <c r="H47" i="5"/>
  <c r="G10" i="3"/>
  <c r="S21" i="4"/>
  <c r="R22" i="4"/>
  <c r="M15" i="4" s="1"/>
  <c r="F13" i="2"/>
  <c r="H13" i="2" s="1"/>
  <c r="I10" i="6" s="1"/>
  <c r="I11" i="6" s="1"/>
  <c r="I4" i="6" s="1"/>
  <c r="E14" i="2"/>
  <c r="S22" i="2"/>
  <c r="M16" i="2" s="1"/>
  <c r="T21" i="2"/>
  <c r="H98" i="5"/>
  <c r="I33" i="6" s="1"/>
  <c r="G99" i="5"/>
  <c r="T111" i="3"/>
  <c r="S88" i="3" s="1"/>
  <c r="U110" i="3"/>
  <c r="H99" i="2"/>
  <c r="J9" i="6" s="1"/>
  <c r="G100" i="2"/>
  <c r="U111" i="4"/>
  <c r="S89" i="4" s="1"/>
  <c r="V110" i="4"/>
  <c r="F14" i="5"/>
  <c r="H14" i="5" s="1"/>
  <c r="J34" i="6" s="1"/>
  <c r="J35" i="6" s="1"/>
  <c r="E15" i="5"/>
  <c r="S22" i="5"/>
  <c r="M16" i="5" s="1"/>
  <c r="T21" i="5"/>
  <c r="W13" i="4"/>
  <c r="X12" i="4"/>
  <c r="X12" i="5"/>
  <c r="W13" i="5"/>
  <c r="V55" i="3"/>
  <c r="U56" i="3"/>
  <c r="S34" i="3" s="1"/>
  <c r="E14" i="3"/>
  <c r="F13" i="3"/>
  <c r="H13" i="3" s="1"/>
  <c r="I18" i="6" s="1"/>
  <c r="I19" i="6" s="1"/>
  <c r="G99" i="3"/>
  <c r="H98" i="3"/>
  <c r="I17" i="6" s="1"/>
  <c r="V56" i="2"/>
  <c r="S35" i="2" s="1"/>
  <c r="W55" i="2"/>
  <c r="W56" i="2" s="1"/>
  <c r="AC12" i="2"/>
  <c r="AD11" i="2"/>
  <c r="V56" i="5"/>
  <c r="S35" i="5" s="1"/>
  <c r="W55" i="5"/>
  <c r="W56" i="5" s="1"/>
  <c r="W12" i="3"/>
  <c r="X11" i="3"/>
  <c r="U111" i="5"/>
  <c r="S89" i="5" s="1"/>
  <c r="V110" i="5"/>
  <c r="G99" i="4"/>
  <c r="H98" i="4"/>
  <c r="I25" i="6" s="1"/>
  <c r="U111" i="2"/>
  <c r="S89" i="2" s="1"/>
  <c r="V110" i="2"/>
  <c r="W11" i="2"/>
  <c r="X10" i="2"/>
  <c r="Z12" i="3"/>
  <c r="AA11" i="3"/>
  <c r="G11" i="3" s="1"/>
  <c r="V55" i="4"/>
  <c r="U56" i="4"/>
  <c r="S34" i="4" s="1"/>
  <c r="G48" i="2"/>
  <c r="H47" i="2"/>
  <c r="G49" i="3"/>
  <c r="H48" i="3"/>
  <c r="E15" i="3" l="1"/>
  <c r="F14" i="3"/>
  <c r="H14" i="3" s="1"/>
  <c r="J18" i="6" s="1"/>
  <c r="J19" i="6" s="1"/>
  <c r="S22" i="4"/>
  <c r="M16" i="4" s="1"/>
  <c r="T21" i="4"/>
  <c r="AA11" i="2"/>
  <c r="Z12" i="2"/>
  <c r="E16" i="5"/>
  <c r="F15" i="5"/>
  <c r="H15" i="5" s="1"/>
  <c r="K34" i="6" s="1"/>
  <c r="K35" i="6" s="1"/>
  <c r="H99" i="5"/>
  <c r="J33" i="6" s="1"/>
  <c r="G100" i="5"/>
  <c r="G10" i="2"/>
  <c r="G49" i="2"/>
  <c r="H48" i="2"/>
  <c r="G100" i="4"/>
  <c r="H99" i="4"/>
  <c r="J25" i="6" s="1"/>
  <c r="Z13" i="3"/>
  <c r="AA12" i="3"/>
  <c r="Z13" i="5"/>
  <c r="AA12" i="5"/>
  <c r="G12" i="5" s="1"/>
  <c r="G12" i="4"/>
  <c r="E15" i="4"/>
  <c r="F14" i="4"/>
  <c r="H14" i="4" s="1"/>
  <c r="J26" i="6" s="1"/>
  <c r="J27" i="6" s="1"/>
  <c r="V111" i="5"/>
  <c r="S90" i="5" s="1"/>
  <c r="W110" i="5"/>
  <c r="W111" i="5" s="1"/>
  <c r="W14" i="5"/>
  <c r="X13" i="5"/>
  <c r="G101" i="2"/>
  <c r="H100" i="2"/>
  <c r="K9" i="6" s="1"/>
  <c r="E15" i="2"/>
  <c r="F14" i="2"/>
  <c r="H14" i="2" s="1"/>
  <c r="J10" i="6" s="1"/>
  <c r="J11" i="6" s="1"/>
  <c r="J4" i="6" s="1"/>
  <c r="Z14" i="4"/>
  <c r="AA13" i="4"/>
  <c r="AD12" i="2"/>
  <c r="AC13" i="2"/>
  <c r="W110" i="4"/>
  <c r="W111" i="4" s="1"/>
  <c r="V111" i="4"/>
  <c r="S90" i="4" s="1"/>
  <c r="T22" i="2"/>
  <c r="M17" i="2" s="1"/>
  <c r="U21" i="2"/>
  <c r="U22" i="2" s="1"/>
  <c r="H49" i="3"/>
  <c r="G50" i="3"/>
  <c r="W12" i="2"/>
  <c r="X11" i="2"/>
  <c r="W13" i="3"/>
  <c r="X12" i="3"/>
  <c r="H99" i="3"/>
  <c r="J17" i="6" s="1"/>
  <c r="G100" i="3"/>
  <c r="W14" i="4"/>
  <c r="X13" i="4"/>
  <c r="T22" i="3"/>
  <c r="M17" i="3" s="1"/>
  <c r="U21" i="3"/>
  <c r="U22" i="3" s="1"/>
  <c r="W55" i="4"/>
  <c r="W56" i="4" s="1"/>
  <c r="V56" i="4"/>
  <c r="S35" i="4" s="1"/>
  <c r="W55" i="3"/>
  <c r="W56" i="3" s="1"/>
  <c r="V56" i="3"/>
  <c r="S35" i="3" s="1"/>
  <c r="G49" i="5"/>
  <c r="H48" i="5"/>
  <c r="W110" i="2"/>
  <c r="W111" i="2" s="1"/>
  <c r="V111" i="2"/>
  <c r="S90" i="2" s="1"/>
  <c r="T22" i="5"/>
  <c r="M17" i="5" s="1"/>
  <c r="U21" i="5"/>
  <c r="U22" i="5" s="1"/>
  <c r="U111" i="3"/>
  <c r="S89" i="3" s="1"/>
  <c r="V110" i="3"/>
  <c r="G50" i="4"/>
  <c r="H49" i="4"/>
  <c r="E16" i="2" l="1"/>
  <c r="F15" i="2"/>
  <c r="H15" i="2" s="1"/>
  <c r="K10" i="6" s="1"/>
  <c r="K11" i="6" s="1"/>
  <c r="K4" i="6" s="1"/>
  <c r="E16" i="4"/>
  <c r="F15" i="4"/>
  <c r="H15" i="4" s="1"/>
  <c r="K26" i="6" s="1"/>
  <c r="K27" i="6" s="1"/>
  <c r="G11" i="2"/>
  <c r="G50" i="5"/>
  <c r="H49" i="5"/>
  <c r="G50" i="2"/>
  <c r="H49" i="2"/>
  <c r="T22" i="4"/>
  <c r="M17" i="4" s="1"/>
  <c r="U21" i="4"/>
  <c r="U22" i="4" s="1"/>
  <c r="Z13" i="2"/>
  <c r="AA12" i="2"/>
  <c r="W14" i="3"/>
  <c r="X13" i="3"/>
  <c r="G102" i="2"/>
  <c r="H101" i="2"/>
  <c r="L9" i="6" s="1"/>
  <c r="G13" i="4"/>
  <c r="V111" i="3"/>
  <c r="S90" i="3" s="1"/>
  <c r="W110" i="3"/>
  <c r="W111" i="3" s="1"/>
  <c r="AC14" i="2"/>
  <c r="AD13" i="2"/>
  <c r="Z14" i="5"/>
  <c r="AA13" i="5"/>
  <c r="G13" i="5" s="1"/>
  <c r="G101" i="5"/>
  <c r="H100" i="5"/>
  <c r="K33" i="6" s="1"/>
  <c r="G51" i="3"/>
  <c r="H50" i="3"/>
  <c r="Z14" i="3"/>
  <c r="AA13" i="3"/>
  <c r="G13" i="3" s="1"/>
  <c r="H50" i="4"/>
  <c r="G51" i="4"/>
  <c r="W15" i="4"/>
  <c r="X14" i="4"/>
  <c r="AA14" i="4"/>
  <c r="Z15" i="4"/>
  <c r="E17" i="5"/>
  <c r="F16" i="5"/>
  <c r="H16" i="5" s="1"/>
  <c r="L34" i="6" s="1"/>
  <c r="L35" i="6" s="1"/>
  <c r="H100" i="3"/>
  <c r="K17" i="6" s="1"/>
  <c r="G101" i="3"/>
  <c r="H100" i="4"/>
  <c r="K25" i="6" s="1"/>
  <c r="G101" i="4"/>
  <c r="W13" i="2"/>
  <c r="X12" i="2"/>
  <c r="W15" i="5"/>
  <c r="X14" i="5"/>
  <c r="G12" i="3"/>
  <c r="E16" i="3"/>
  <c r="F15" i="3"/>
  <c r="H15" i="3" s="1"/>
  <c r="K18" i="6" s="1"/>
  <c r="K19" i="6" s="1"/>
  <c r="G103" i="2" l="1"/>
  <c r="H102" i="2"/>
  <c r="M9" i="6" s="1"/>
  <c r="H50" i="2"/>
  <c r="G51" i="2"/>
  <c r="Z15" i="5"/>
  <c r="AA14" i="5"/>
  <c r="G14" i="5" s="1"/>
  <c r="E18" i="5"/>
  <c r="F17" i="5"/>
  <c r="H17" i="5" s="1"/>
  <c r="M34" i="6" s="1"/>
  <c r="M35" i="6" s="1"/>
  <c r="Z15" i="3"/>
  <c r="AA14" i="3"/>
  <c r="G14" i="3" s="1"/>
  <c r="AC15" i="2"/>
  <c r="AD14" i="2"/>
  <c r="G12" i="2"/>
  <c r="Z16" i="4"/>
  <c r="AA15" i="4"/>
  <c r="AA13" i="2"/>
  <c r="G13" i="2" s="1"/>
  <c r="Z14" i="2"/>
  <c r="W15" i="3"/>
  <c r="X14" i="3"/>
  <c r="W14" i="2"/>
  <c r="X13" i="2"/>
  <c r="G14" i="4"/>
  <c r="H51" i="3"/>
  <c r="G52" i="3"/>
  <c r="E17" i="4"/>
  <c r="F16" i="4"/>
  <c r="H16" i="4" s="1"/>
  <c r="L26" i="6" s="1"/>
  <c r="L27" i="6" s="1"/>
  <c r="F16" i="3"/>
  <c r="H16" i="3" s="1"/>
  <c r="L18" i="6" s="1"/>
  <c r="L19" i="6" s="1"/>
  <c r="E17" i="3"/>
  <c r="G52" i="4"/>
  <c r="H51" i="4"/>
  <c r="X15" i="5"/>
  <c r="W16" i="5"/>
  <c r="G102" i="4"/>
  <c r="H101" i="4"/>
  <c r="L25" i="6" s="1"/>
  <c r="G102" i="3"/>
  <c r="H101" i="3"/>
  <c r="L17" i="6" s="1"/>
  <c r="H50" i="5"/>
  <c r="G51" i="5"/>
  <c r="W16" i="4"/>
  <c r="X15" i="4"/>
  <c r="H101" i="5"/>
  <c r="L33" i="6" s="1"/>
  <c r="G102" i="5"/>
  <c r="E17" i="2"/>
  <c r="F16" i="2"/>
  <c r="H16" i="2" s="1"/>
  <c r="L10" i="6" s="1"/>
  <c r="L11" i="6" s="1"/>
  <c r="L4" i="6" s="1"/>
  <c r="W17" i="5" l="1"/>
  <c r="X16" i="5"/>
  <c r="G53" i="3"/>
  <c r="H52" i="3"/>
  <c r="W17" i="4"/>
  <c r="X16" i="4"/>
  <c r="G15" i="4"/>
  <c r="E19" i="5"/>
  <c r="F18" i="5"/>
  <c r="H18" i="5" s="1"/>
  <c r="N34" i="6" s="1"/>
  <c r="N35" i="6" s="1"/>
  <c r="G52" i="5"/>
  <c r="H51" i="5"/>
  <c r="Z17" i="4"/>
  <c r="AA16" i="4"/>
  <c r="Z16" i="5"/>
  <c r="AA15" i="5"/>
  <c r="G15" i="5" s="1"/>
  <c r="E18" i="3"/>
  <c r="F17" i="3"/>
  <c r="H17" i="3" s="1"/>
  <c r="M18" i="6" s="1"/>
  <c r="M19" i="6" s="1"/>
  <c r="W15" i="2"/>
  <c r="X14" i="2"/>
  <c r="G52" i="2"/>
  <c r="H51" i="2"/>
  <c r="E18" i="2"/>
  <c r="F17" i="2"/>
  <c r="H17" i="2" s="1"/>
  <c r="M10" i="6" s="1"/>
  <c r="M11" i="6" s="1"/>
  <c r="M4" i="6" s="1"/>
  <c r="H102" i="3"/>
  <c r="M17" i="6" s="1"/>
  <c r="G103" i="3"/>
  <c r="AC16" i="2"/>
  <c r="AD15" i="2"/>
  <c r="X15" i="3"/>
  <c r="W16" i="3"/>
  <c r="H52" i="4"/>
  <c r="G53" i="4"/>
  <c r="G103" i="5"/>
  <c r="H102" i="5"/>
  <c r="M33" i="6" s="1"/>
  <c r="G103" i="4"/>
  <c r="H102" i="4"/>
  <c r="M25" i="6" s="1"/>
  <c r="F17" i="4"/>
  <c r="H17" i="4" s="1"/>
  <c r="M26" i="6" s="1"/>
  <c r="M27" i="6" s="1"/>
  <c r="E18" i="4"/>
  <c r="Z15" i="2"/>
  <c r="AA14" i="2"/>
  <c r="G14" i="2" s="1"/>
  <c r="Z16" i="3"/>
  <c r="AA15" i="3"/>
  <c r="G15" i="3" s="1"/>
  <c r="G104" i="2"/>
  <c r="H103" i="2"/>
  <c r="N9" i="6" s="1"/>
  <c r="AA16" i="3" l="1"/>
  <c r="Z17" i="3"/>
  <c r="G104" i="5"/>
  <c r="H103" i="5"/>
  <c r="N33" i="6" s="1"/>
  <c r="E19" i="3"/>
  <c r="F18" i="3"/>
  <c r="H18" i="3" s="1"/>
  <c r="N18" i="6" s="1"/>
  <c r="N19" i="6" s="1"/>
  <c r="E20" i="5"/>
  <c r="F20" i="5" s="1"/>
  <c r="H20" i="5" s="1"/>
  <c r="P34" i="6" s="1"/>
  <c r="F19" i="5"/>
  <c r="H19" i="5" s="1"/>
  <c r="O34" i="6" s="1"/>
  <c r="O35" i="6" s="1"/>
  <c r="H53" i="4"/>
  <c r="G54" i="4"/>
  <c r="H54" i="4" s="1"/>
  <c r="AA16" i="5"/>
  <c r="G16" i="5" s="1"/>
  <c r="Z17" i="5"/>
  <c r="G53" i="2"/>
  <c r="H52" i="2"/>
  <c r="AA17" i="4"/>
  <c r="G17" i="4" s="1"/>
  <c r="Z18" i="4"/>
  <c r="Z16" i="2"/>
  <c r="AA15" i="2"/>
  <c r="E19" i="2"/>
  <c r="F18" i="2"/>
  <c r="H18" i="2" s="1"/>
  <c r="N10" i="6" s="1"/>
  <c r="N11" i="6" s="1"/>
  <c r="N4" i="6" s="1"/>
  <c r="F18" i="4"/>
  <c r="H18" i="4" s="1"/>
  <c r="N26" i="6" s="1"/>
  <c r="N27" i="6" s="1"/>
  <c r="E19" i="4"/>
  <c r="W17" i="3"/>
  <c r="X16" i="3"/>
  <c r="W18" i="4"/>
  <c r="X17" i="4"/>
  <c r="H53" i="3"/>
  <c r="G54" i="3"/>
  <c r="H54" i="3" s="1"/>
  <c r="G16" i="4"/>
  <c r="G105" i="2"/>
  <c r="H105" i="2" s="1"/>
  <c r="P9" i="6" s="1"/>
  <c r="Q9" i="6" s="1"/>
  <c r="H104" i="2"/>
  <c r="O9" i="6" s="1"/>
  <c r="H103" i="4"/>
  <c r="N25" i="6" s="1"/>
  <c r="G104" i="4"/>
  <c r="AC17" i="2"/>
  <c r="AD16" i="2"/>
  <c r="W16" i="2"/>
  <c r="X15" i="2"/>
  <c r="H52" i="5"/>
  <c r="G53" i="5"/>
  <c r="G104" i="3"/>
  <c r="H103" i="3"/>
  <c r="N17" i="6" s="1"/>
  <c r="X17" i="5"/>
  <c r="W18" i="5"/>
  <c r="H104" i="3" l="1"/>
  <c r="O17" i="6" s="1"/>
  <c r="G105" i="3"/>
  <c r="H105" i="3" s="1"/>
  <c r="P17" i="6" s="1"/>
  <c r="Q17" i="6" s="1"/>
  <c r="AA18" i="4"/>
  <c r="Z19" i="4"/>
  <c r="G54" i="5"/>
  <c r="H54" i="5" s="1"/>
  <c r="H53" i="5"/>
  <c r="W18" i="3"/>
  <c r="X17" i="3"/>
  <c r="Q34" i="6"/>
  <c r="Q35" i="6" s="1"/>
  <c r="P35" i="6"/>
  <c r="G54" i="2"/>
  <c r="H54" i="2" s="1"/>
  <c r="H53" i="2"/>
  <c r="W17" i="2"/>
  <c r="X16" i="2"/>
  <c r="Z18" i="5"/>
  <c r="AA17" i="5"/>
  <c r="G17" i="5" s="1"/>
  <c r="X18" i="5"/>
  <c r="W19" i="5"/>
  <c r="E20" i="2"/>
  <c r="F20" i="2" s="1"/>
  <c r="H20" i="2" s="1"/>
  <c r="P10" i="6" s="1"/>
  <c r="F19" i="2"/>
  <c r="H19" i="2" s="1"/>
  <c r="O10" i="6" s="1"/>
  <c r="O11" i="6" s="1"/>
  <c r="O4" i="6" s="1"/>
  <c r="H104" i="5"/>
  <c r="O33" i="6" s="1"/>
  <c r="G105" i="5"/>
  <c r="H105" i="5" s="1"/>
  <c r="P33" i="6" s="1"/>
  <c r="Q33" i="6" s="1"/>
  <c r="F19" i="3"/>
  <c r="H19" i="3" s="1"/>
  <c r="O18" i="6" s="1"/>
  <c r="O19" i="6" s="1"/>
  <c r="E20" i="3"/>
  <c r="F20" i="3" s="1"/>
  <c r="H20" i="3" s="1"/>
  <c r="P18" i="6" s="1"/>
  <c r="G15" i="2"/>
  <c r="Z18" i="3"/>
  <c r="AA17" i="3"/>
  <c r="G17" i="3" s="1"/>
  <c r="E20" i="4"/>
  <c r="F20" i="4" s="1"/>
  <c r="H20" i="4" s="1"/>
  <c r="P26" i="6" s="1"/>
  <c r="F19" i="4"/>
  <c r="H19" i="4" s="1"/>
  <c r="O26" i="6" s="1"/>
  <c r="O27" i="6" s="1"/>
  <c r="AD17" i="2"/>
  <c r="AC18" i="2"/>
  <c r="H104" i="4"/>
  <c r="O25" i="6" s="1"/>
  <c r="G105" i="4"/>
  <c r="H105" i="4" s="1"/>
  <c r="P25" i="6" s="1"/>
  <c r="Q25" i="6" s="1"/>
  <c r="X18" i="4"/>
  <c r="W19" i="4"/>
  <c r="Z17" i="2"/>
  <c r="AA16" i="2"/>
  <c r="G16" i="3"/>
  <c r="Q18" i="6" l="1"/>
  <c r="Q19" i="6" s="1"/>
  <c r="P19" i="6"/>
  <c r="AD18" i="2"/>
  <c r="AC19" i="2"/>
  <c r="Z19" i="5"/>
  <c r="AA18" i="5"/>
  <c r="G18" i="5" s="1"/>
  <c r="W19" i="3"/>
  <c r="X18" i="3"/>
  <c r="Q26" i="6"/>
  <c r="Q27" i="6" s="1"/>
  <c r="P27" i="6"/>
  <c r="Z20" i="4"/>
  <c r="AA20" i="4" s="1"/>
  <c r="AA19" i="4"/>
  <c r="Z18" i="2"/>
  <c r="AA17" i="2"/>
  <c r="X19" i="4"/>
  <c r="W20" i="4"/>
  <c r="X20" i="4" s="1"/>
  <c r="P11" i="6"/>
  <c r="P4" i="6" s="1"/>
  <c r="Q10" i="6"/>
  <c r="Q11" i="6" s="1"/>
  <c r="Q4" i="6" s="1"/>
  <c r="G18" i="4"/>
  <c r="G16" i="2"/>
  <c r="X17" i="2"/>
  <c r="W18" i="2"/>
  <c r="AA18" i="3"/>
  <c r="G18" i="3" s="1"/>
  <c r="Z19" i="3"/>
  <c r="W20" i="5"/>
  <c r="X20" i="5" s="1"/>
  <c r="X19" i="5"/>
  <c r="AA19" i="3" l="1"/>
  <c r="Z20" i="3"/>
  <c r="AA20" i="3" s="1"/>
  <c r="W20" i="3"/>
  <c r="X20" i="3" s="1"/>
  <c r="X19" i="3"/>
  <c r="G19" i="4"/>
  <c r="AD19" i="2"/>
  <c r="AC20" i="2"/>
  <c r="AD20" i="2" s="1"/>
  <c r="G20" i="4"/>
  <c r="G17" i="2"/>
  <c r="Z20" i="5"/>
  <c r="AA20" i="5" s="1"/>
  <c r="G20" i="5" s="1"/>
  <c r="AA19" i="5"/>
  <c r="G19" i="5" s="1"/>
  <c r="X18" i="2"/>
  <c r="W19" i="2"/>
  <c r="Z19" i="2"/>
  <c r="AA18" i="2"/>
  <c r="G18" i="2" s="1"/>
  <c r="Z20" i="2" l="1"/>
  <c r="AA20" i="2" s="1"/>
  <c r="AA19" i="2"/>
  <c r="X19" i="2"/>
  <c r="W20" i="2"/>
  <c r="X20" i="2" s="1"/>
  <c r="G20" i="3"/>
  <c r="G19" i="3"/>
  <c r="G19" i="2" l="1"/>
  <c r="G20" i="2"/>
</calcChain>
</file>

<file path=xl/sharedStrings.xml><?xml version="1.0" encoding="utf-8"?>
<sst xmlns="http://schemas.openxmlformats.org/spreadsheetml/2006/main" count="898" uniqueCount="164">
  <si>
    <t>Iowa  Department  Of  Transportation</t>
  </si>
  <si>
    <t>Form 201 Modified</t>
  </si>
  <si>
    <t>Cold-Feed &amp; Ignition Oven Gradation &amp; I.M. 216 Comparison Report</t>
  </si>
  <si>
    <t>Project No.:</t>
  </si>
  <si>
    <t>Contract ID:</t>
  </si>
  <si>
    <t>Intended Use:</t>
  </si>
  <si>
    <t>County:</t>
  </si>
  <si>
    <t>Contractor/Producer:</t>
  </si>
  <si>
    <t>Mix Design No.:</t>
  </si>
  <si>
    <t>Good</t>
  </si>
  <si>
    <t>Fair</t>
  </si>
  <si>
    <t>Poor</t>
  </si>
  <si>
    <t>Mix Change ( Y/N ):</t>
  </si>
  <si>
    <t>Care of Equipment:</t>
  </si>
  <si>
    <t>Date of Change:</t>
  </si>
  <si>
    <t>Sampling Procedure:</t>
  </si>
  <si>
    <t>Total, % Asphalt (Pb):</t>
  </si>
  <si>
    <t>Splitting Procedure:</t>
  </si>
  <si>
    <t>Effective % Asphalt (Pbe):</t>
  </si>
  <si>
    <t>Sieving to Completion:</t>
  </si>
  <si>
    <t>Proper Equipment:</t>
  </si>
  <si>
    <t>Computations:</t>
  </si>
  <si>
    <t>Applicable Specs.:</t>
  </si>
  <si>
    <t>Reporting:</t>
  </si>
  <si>
    <t>Ignition Oven Tested By:</t>
  </si>
  <si>
    <t>Cert. No.:</t>
  </si>
  <si>
    <t>Date:</t>
  </si>
  <si>
    <t>Cold-Feed Tested By:</t>
  </si>
  <si>
    <t>Sieve Sizes - Percent Passing</t>
  </si>
  <si>
    <t>1 1/2"</t>
  </si>
  <si>
    <t>1"</t>
  </si>
  <si>
    <t>3/4"</t>
  </si>
  <si>
    <t>1/2"</t>
  </si>
  <si>
    <t>3/8"</t>
  </si>
  <si>
    <t>#4</t>
  </si>
  <si>
    <t>#8</t>
  </si>
  <si>
    <t>#16</t>
  </si>
  <si>
    <t>#30</t>
  </si>
  <si>
    <t>#50</t>
  </si>
  <si>
    <t>#100</t>
  </si>
  <si>
    <t>#200</t>
  </si>
  <si>
    <t>Limits</t>
  </si>
  <si>
    <t>Sample ID</t>
  </si>
  <si>
    <t>V-37</t>
  </si>
  <si>
    <t>Ign. Oven</t>
  </si>
  <si>
    <t>Compliance (C or N)</t>
  </si>
  <si>
    <t>050411cf1</t>
  </si>
  <si>
    <t>Cold-Feed</t>
  </si>
  <si>
    <t>Correction Factor</t>
  </si>
  <si>
    <t>Validation</t>
  </si>
  <si>
    <t>Tol.</t>
  </si>
  <si>
    <t>Comply</t>
  </si>
  <si>
    <t>Corrected Ign. Oven SA:</t>
  </si>
  <si>
    <t>Film Thickness:</t>
  </si>
  <si>
    <t>Sieves</t>
  </si>
  <si>
    <t>% Retained</t>
  </si>
  <si>
    <t>Diff.</t>
  </si>
  <si>
    <t>%</t>
  </si>
  <si>
    <t>(Y/N)</t>
  </si>
  <si>
    <t>Cold-Feed Surface Area:</t>
  </si>
  <si>
    <t>1 1/2 - 1</t>
  </si>
  <si>
    <t>Correction Factor:</t>
  </si>
  <si>
    <t>1 - 3/4</t>
  </si>
  <si>
    <t>3/4 - 1/2</t>
  </si>
  <si>
    <t>1/2 - 3/8</t>
  </si>
  <si>
    <t>Sieve Fraction Between</t>
  </si>
  <si>
    <t>3/8 - 4</t>
  </si>
  <si>
    <t>Consecutive Sieves,  %</t>
  </si>
  <si>
    <t>Tolerance,  %</t>
  </si>
  <si>
    <t>4 - 8</t>
  </si>
  <si>
    <t>To</t>
  </si>
  <si>
    <t>8 - 16</t>
  </si>
  <si>
    <t>16 - 30</t>
  </si>
  <si>
    <t>30 - 50</t>
  </si>
  <si>
    <t>50 - 100</t>
  </si>
  <si>
    <t>100 - 200</t>
  </si>
  <si>
    <t>200</t>
  </si>
  <si>
    <t>+#4 sieves minimum tolerance =</t>
  </si>
  <si>
    <t>Remarks:</t>
  </si>
  <si>
    <t>Distribution________ Central Materials________ Dist Materials________ Contr./Producer________ Proj. Engineer________ Technician________</t>
  </si>
  <si>
    <t>Cold-Feed Gradation</t>
  </si>
  <si>
    <t>Sample ID:</t>
  </si>
  <si>
    <t>Date Sampled:</t>
  </si>
  <si>
    <t>Units</t>
  </si>
  <si>
    <t>English</t>
  </si>
  <si>
    <t>Pro-rated as a % of Agg only</t>
  </si>
  <si>
    <t>%Agg in Mix</t>
  </si>
  <si>
    <t>% Agg in RAM</t>
  </si>
  <si>
    <t>Asphalt</t>
  </si>
  <si>
    <t>Fibers</t>
  </si>
  <si>
    <t xml:space="preserve">Orig.  Dry  Mass: </t>
  </si>
  <si>
    <t>Metric</t>
  </si>
  <si>
    <t>Virgin Material</t>
  </si>
  <si>
    <t xml:space="preserve">Dry  Mass  Washed: </t>
  </si>
  <si>
    <t xml:space="preserve"> Only use green colored cells when</t>
  </si>
  <si>
    <t>RAS</t>
  </si>
  <si>
    <t>RAP % Binder (From DOT Extraction)</t>
  </si>
  <si>
    <t>RAP</t>
  </si>
  <si>
    <t>Total</t>
  </si>
  <si>
    <t xml:space="preserve">Conversion Factor: </t>
  </si>
  <si>
    <t>RAS % Binder (From DOT Extraction)</t>
  </si>
  <si>
    <t>Reduced</t>
  </si>
  <si>
    <t>Total or Calc</t>
  </si>
  <si>
    <t>Reported</t>
  </si>
  <si>
    <t>Composite</t>
  </si>
  <si>
    <t>% Vir.</t>
  </si>
  <si>
    <t>% Virgin</t>
  </si>
  <si>
    <t>% Rap</t>
  </si>
  <si>
    <t>% RAP</t>
  </si>
  <si>
    <t>% Ras</t>
  </si>
  <si>
    <t>Sieve Size</t>
  </si>
  <si>
    <t>Mass Retd.</t>
  </si>
  <si>
    <t>Retd.</t>
  </si>
  <si>
    <t>Passing</t>
  </si>
  <si>
    <t>Final</t>
  </si>
  <si>
    <t>% Psg.</t>
  </si>
  <si>
    <t>% Passing</t>
  </si>
  <si>
    <t>Agg.</t>
  </si>
  <si>
    <t>Psg.</t>
  </si>
  <si>
    <t>Gradation</t>
  </si>
  <si>
    <t>1</t>
  </si>
  <si>
    <t>3</t>
  </si>
  <si>
    <t>4</t>
  </si>
  <si>
    <t>5</t>
  </si>
  <si>
    <t>IM 305</t>
  </si>
  <si>
    <t>Sort</t>
  </si>
  <si>
    <t>Pan</t>
  </si>
  <si>
    <t>Wash</t>
  </si>
  <si>
    <t>Totals</t>
  </si>
  <si>
    <t>Tolerances</t>
  </si>
  <si>
    <t xml:space="preserve"> Only use light blue colored cells when</t>
  </si>
  <si>
    <t>Total Minus 4.75mm (W1):</t>
  </si>
  <si>
    <t xml:space="preserve"> using Box &amp; 203mm (8in.) Sieves.</t>
  </si>
  <si>
    <t>Reduced Minus 4.75mm (W2):</t>
  </si>
  <si>
    <t>Minus 4.75</t>
  </si>
  <si>
    <t>37.5mm</t>
  </si>
  <si>
    <t>1.0"</t>
  </si>
  <si>
    <t>25.0mm</t>
  </si>
  <si>
    <t>19.0mm</t>
  </si>
  <si>
    <t>12.5mm</t>
  </si>
  <si>
    <t>9.50mm</t>
  </si>
  <si>
    <t># 4</t>
  </si>
  <si>
    <t>4.75mm</t>
  </si>
  <si>
    <t># 8</t>
  </si>
  <si>
    <t>2.36mm</t>
  </si>
  <si>
    <t># 16</t>
  </si>
  <si>
    <t>1.18mm</t>
  </si>
  <si>
    <t># 30</t>
  </si>
  <si>
    <t># 50</t>
  </si>
  <si>
    <t># 100</t>
  </si>
  <si>
    <t># 200</t>
  </si>
  <si>
    <t>Ignition Oven Extracted Agg. Gradation</t>
  </si>
  <si>
    <t xml:space="preserve">Surface </t>
  </si>
  <si>
    <t xml:space="preserve">Avg. Ignition Oven Correction Factor </t>
  </si>
  <si>
    <t>Area</t>
  </si>
  <si>
    <t>Used for Validation of Cold-Feed</t>
  </si>
  <si>
    <t>Ignition Oven Correction Factor #1</t>
  </si>
  <si>
    <t>Ignition Oven Correction Factor #2</t>
  </si>
  <si>
    <t>Ignition Oven Correction Factor #3</t>
  </si>
  <si>
    <t>Ignition Oven Correction Factor #4</t>
  </si>
  <si>
    <t>ID</t>
  </si>
  <si>
    <t>QC Sample/Type</t>
  </si>
  <si>
    <t>QA Sample/Type</t>
  </si>
  <si>
    <t>Rev 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</si>
</sst>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/d/yy"/>
    <numFmt numFmtId="165" formatCode="0.0"/>
    <numFmt numFmtId="166" formatCode="0.0_)"/>
    <numFmt numFmtId="167" formatCode=";;;"/>
    <numFmt numFmtId="168" formatCode="#,##0.0_);\(#,##0.0\)"/>
    <numFmt numFmtId="169" formatCode="0.000000"/>
    <numFmt numFmtId="170" formatCode="0.0000_)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2"/>
      <color theme="0"/>
      <name val="Arial"/>
      <family val="2"/>
    </font>
    <font>
      <b/>
      <sz val="9"/>
      <color indexed="8"/>
      <name val="Arial"/>
      <family val="2"/>
    </font>
    <font>
      <sz val="10"/>
      <color theme="0"/>
      <name val="Arial"/>
      <family val="2"/>
    </font>
    <font>
      <sz val="10"/>
      <color theme="8" tint="0.79998168889431442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u/>
      <sz val="10"/>
      <color theme="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solid">
        <fgColor theme="0"/>
        <b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43"/>
      </patternFill>
    </fill>
    <fill>
      <patternFill patternType="solid">
        <fgColor indexed="41"/>
        <bgColor indexed="42"/>
      </patternFill>
    </fill>
    <fill>
      <patternFill patternType="solid">
        <fgColor indexed="41"/>
        <bgColor indexed="9"/>
      </patternFill>
    </fill>
    <fill>
      <patternFill patternType="solid">
        <fgColor indexed="27"/>
        <bgColor indexed="8"/>
      </patternFill>
    </fill>
    <fill>
      <patternFill patternType="solid">
        <fgColor indexed="27"/>
        <bgColor indexed="42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4">
    <xf numFmtId="0" fontId="0" fillId="0" borderId="0"/>
    <xf numFmtId="0" fontId="13" fillId="0" borderId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4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49" fontId="8" fillId="2" borderId="15" xfId="0" applyNumberFormat="1" applyFont="1" applyFill="1" applyBorder="1" applyAlignment="1" applyProtection="1">
      <alignment horizontal="center"/>
      <protection locked="0"/>
    </xf>
    <xf numFmtId="49" fontId="8" fillId="2" borderId="16" xfId="0" applyNumberFormat="1" applyFont="1" applyFill="1" applyBorder="1" applyAlignment="1" applyProtection="1">
      <alignment horizontal="center"/>
      <protection locked="0"/>
    </xf>
    <xf numFmtId="0" fontId="8" fillId="3" borderId="18" xfId="0" applyFont="1" applyFill="1" applyBorder="1" applyAlignment="1" applyProtection="1">
      <alignment horizontal="center"/>
      <protection locked="0"/>
    </xf>
    <xf numFmtId="165" fontId="6" fillId="3" borderId="19" xfId="0" applyNumberFormat="1" applyFont="1" applyFill="1" applyBorder="1" applyAlignment="1" applyProtection="1">
      <alignment horizontal="center"/>
      <protection locked="0"/>
    </xf>
    <xf numFmtId="165" fontId="8" fillId="3" borderId="19" xfId="0" applyNumberFormat="1" applyFont="1" applyFill="1" applyBorder="1" applyAlignment="1" applyProtection="1">
      <alignment horizontal="center"/>
      <protection locked="0"/>
    </xf>
    <xf numFmtId="165" fontId="8" fillId="3" borderId="20" xfId="0" applyNumberFormat="1" applyFont="1" applyFill="1" applyBorder="1" applyAlignment="1" applyProtection="1">
      <alignment horizontal="center"/>
      <protection locked="0"/>
    </xf>
    <xf numFmtId="0" fontId="8" fillId="5" borderId="18" xfId="0" applyFont="1" applyFill="1" applyBorder="1" applyAlignment="1" applyProtection="1">
      <alignment horizontal="center"/>
      <protection locked="0"/>
    </xf>
    <xf numFmtId="165" fontId="6" fillId="5" borderId="19" xfId="0" applyNumberFormat="1" applyFont="1" applyFill="1" applyBorder="1" applyAlignment="1" applyProtection="1">
      <alignment horizontal="center"/>
      <protection locked="0"/>
    </xf>
    <xf numFmtId="165" fontId="8" fillId="5" borderId="19" xfId="0" applyNumberFormat="1" applyFont="1" applyFill="1" applyBorder="1" applyAlignment="1" applyProtection="1">
      <alignment horizontal="center"/>
      <protection locked="0"/>
    </xf>
    <xf numFmtId="165" fontId="8" fillId="5" borderId="20" xfId="0" applyNumberFormat="1" applyFont="1" applyFill="1" applyBorder="1" applyAlignment="1" applyProtection="1">
      <alignment horizontal="center"/>
      <protection locked="0"/>
    </xf>
    <xf numFmtId="0" fontId="6" fillId="0" borderId="37" xfId="1" applyFont="1" applyBorder="1" applyAlignment="1">
      <alignment horizontal="right"/>
    </xf>
    <xf numFmtId="0" fontId="8" fillId="4" borderId="38" xfId="1" applyFont="1" applyFill="1" applyBorder="1" applyAlignment="1" applyProtection="1">
      <alignment horizontal="center"/>
      <protection locked="0"/>
    </xf>
    <xf numFmtId="0" fontId="8" fillId="0" borderId="37" xfId="1" applyFont="1" applyBorder="1"/>
    <xf numFmtId="14" fontId="8" fillId="4" borderId="38" xfId="1" applyNumberFormat="1" applyFont="1" applyFill="1" applyBorder="1" applyAlignment="1" applyProtection="1">
      <alignment horizontal="center"/>
      <protection locked="0"/>
    </xf>
    <xf numFmtId="14" fontId="8" fillId="7" borderId="0" xfId="1" applyNumberFormat="1" applyFont="1" applyFill="1" applyAlignment="1" applyProtection="1">
      <alignment horizontal="center"/>
      <protection locked="0"/>
    </xf>
    <xf numFmtId="0" fontId="6" fillId="4" borderId="38" xfId="1" applyFont="1" applyFill="1" applyBorder="1" applyAlignment="1" applyProtection="1">
      <alignment horizontal="center"/>
      <protection locked="0"/>
    </xf>
    <xf numFmtId="167" fontId="15" fillId="0" borderId="0" xfId="1" applyNumberFormat="1" applyFont="1" applyProtection="1">
      <protection hidden="1"/>
    </xf>
    <xf numFmtId="0" fontId="15" fillId="0" borderId="0" xfId="1" applyFont="1" applyProtection="1">
      <protection hidden="1"/>
    </xf>
    <xf numFmtId="0" fontId="15" fillId="0" borderId="0" xfId="1" applyFont="1"/>
    <xf numFmtId="0" fontId="13" fillId="0" borderId="0" xfId="1"/>
    <xf numFmtId="0" fontId="8" fillId="0" borderId="35" xfId="1" applyFont="1" applyBorder="1" applyAlignment="1">
      <alignment horizontal="centerContinuous"/>
    </xf>
    <xf numFmtId="0" fontId="8" fillId="0" borderId="1" xfId="1" applyFont="1" applyBorder="1" applyAlignment="1">
      <alignment horizontal="centerContinuous"/>
    </xf>
    <xf numFmtId="168" fontId="8" fillId="8" borderId="32" xfId="1" applyNumberFormat="1" applyFont="1" applyFill="1" applyBorder="1" applyProtection="1">
      <protection locked="0"/>
    </xf>
    <xf numFmtId="0" fontId="8" fillId="9" borderId="0" xfId="1" applyFont="1" applyFill="1"/>
    <xf numFmtId="0" fontId="8" fillId="9" borderId="0" xfId="1" applyFont="1" applyFill="1" applyAlignment="1">
      <alignment horizontal="centerContinuous"/>
    </xf>
    <xf numFmtId="166" fontId="8" fillId="9" borderId="0" xfId="1" applyNumberFormat="1" applyFont="1" applyFill="1"/>
    <xf numFmtId="0" fontId="16" fillId="9" borderId="0" xfId="1" applyFont="1" applyFill="1"/>
    <xf numFmtId="0" fontId="15" fillId="9" borderId="0" xfId="1" applyFont="1" applyFill="1"/>
    <xf numFmtId="167" fontId="6" fillId="0" borderId="0" xfId="1" applyNumberFormat="1" applyFont="1" applyProtection="1">
      <protection hidden="1"/>
    </xf>
    <xf numFmtId="0" fontId="6" fillId="0" borderId="0" xfId="1" applyFont="1" applyProtection="1">
      <protection hidden="1"/>
    </xf>
    <xf numFmtId="169" fontId="15" fillId="0" borderId="0" xfId="2" applyNumberFormat="1" applyFont="1" applyProtection="1">
      <protection hidden="1"/>
    </xf>
    <xf numFmtId="0" fontId="15" fillId="0" borderId="0" xfId="2" applyNumberFormat="1" applyFont="1" applyProtection="1">
      <protection hidden="1"/>
    </xf>
    <xf numFmtId="0" fontId="8" fillId="0" borderId="39" xfId="1" applyFont="1" applyBorder="1" applyAlignment="1">
      <alignment horizontal="centerContinuous"/>
    </xf>
    <xf numFmtId="0" fontId="8" fillId="0" borderId="40" xfId="1" applyFont="1" applyBorder="1" applyAlignment="1">
      <alignment horizontal="centerContinuous"/>
    </xf>
    <xf numFmtId="168" fontId="8" fillId="8" borderId="41" xfId="1" applyNumberFormat="1" applyFont="1" applyFill="1" applyBorder="1" applyProtection="1">
      <protection locked="0"/>
    </xf>
    <xf numFmtId="168" fontId="8" fillId="10" borderId="32" xfId="1" applyNumberFormat="1" applyFont="1" applyFill="1" applyBorder="1"/>
    <xf numFmtId="2" fontId="8" fillId="4" borderId="45" xfId="1" applyNumberFormat="1" applyFont="1" applyFill="1" applyBorder="1" applyAlignment="1" applyProtection="1">
      <alignment horizontal="right"/>
      <protection locked="0"/>
    </xf>
    <xf numFmtId="2" fontId="15" fillId="0" borderId="0" xfId="2" applyNumberFormat="1" applyFont="1" applyProtection="1">
      <protection hidden="1"/>
    </xf>
    <xf numFmtId="0" fontId="8" fillId="0" borderId="30" xfId="1" applyFont="1" applyBorder="1" applyAlignment="1">
      <alignment horizontal="centerContinuous"/>
    </xf>
    <xf numFmtId="0" fontId="8" fillId="0" borderId="2" xfId="1" applyFont="1" applyBorder="1" applyAlignment="1">
      <alignment horizontal="centerContinuous"/>
    </xf>
    <xf numFmtId="168" fontId="8" fillId="10" borderId="32" xfId="1" applyNumberFormat="1" applyFont="1" applyFill="1" applyBorder="1" applyProtection="1">
      <protection locked="0"/>
    </xf>
    <xf numFmtId="0" fontId="6" fillId="11" borderId="45" xfId="1" applyFont="1" applyFill="1" applyBorder="1" applyAlignment="1" applyProtection="1">
      <alignment horizontal="right"/>
      <protection locked="0"/>
    </xf>
    <xf numFmtId="2" fontId="15" fillId="0" borderId="0" xfId="1" applyNumberFormat="1" applyFont="1" applyProtection="1">
      <protection hidden="1"/>
    </xf>
    <xf numFmtId="170" fontId="8" fillId="12" borderId="41" xfId="1" applyNumberFormat="1" applyFont="1" applyFill="1" applyBorder="1"/>
    <xf numFmtId="0" fontId="17" fillId="0" borderId="9" xfId="1" applyFont="1" applyBorder="1"/>
    <xf numFmtId="0" fontId="17" fillId="0" borderId="9" xfId="1" applyFont="1" applyBorder="1" applyAlignment="1">
      <alignment horizontal="center"/>
    </xf>
    <xf numFmtId="0" fontId="17" fillId="0" borderId="22" xfId="1" applyFont="1" applyBorder="1" applyAlignment="1">
      <alignment horizontal="center"/>
    </xf>
    <xf numFmtId="167" fontId="18" fillId="0" borderId="0" xfId="1" applyNumberFormat="1" applyFont="1" applyProtection="1">
      <protection hidden="1"/>
    </xf>
    <xf numFmtId="167" fontId="6" fillId="0" borderId="0" xfId="1" applyNumberFormat="1" applyFont="1" applyAlignment="1" applyProtection="1">
      <alignment horizontal="center"/>
      <protection hidden="1"/>
    </xf>
    <xf numFmtId="0" fontId="6" fillId="0" borderId="0" xfId="1" applyFont="1" applyAlignment="1" applyProtection="1">
      <alignment horizontal="center"/>
      <protection hidden="1"/>
    </xf>
    <xf numFmtId="0" fontId="19" fillId="0" borderId="33" xfId="1" applyFont="1" applyBorder="1" applyAlignment="1">
      <alignment horizontal="center"/>
    </xf>
    <xf numFmtId="0" fontId="17" fillId="0" borderId="33" xfId="1" applyFont="1" applyBorder="1" applyAlignment="1">
      <alignment horizontal="center"/>
    </xf>
    <xf numFmtId="167" fontId="20" fillId="0" borderId="0" xfId="1" applyNumberFormat="1" applyFont="1" applyAlignment="1" applyProtection="1">
      <alignment horizontal="center"/>
      <protection hidden="1"/>
    </xf>
    <xf numFmtId="0" fontId="18" fillId="0" borderId="0" xfId="1" applyFont="1"/>
    <xf numFmtId="0" fontId="8" fillId="0" borderId="32" xfId="1" applyFont="1" applyBorder="1" applyAlignment="1">
      <alignment horizontal="center"/>
    </xf>
    <xf numFmtId="0" fontId="8" fillId="13" borderId="32" xfId="1" applyFont="1" applyFill="1" applyBorder="1" applyAlignment="1">
      <alignment horizontal="center"/>
    </xf>
    <xf numFmtId="168" fontId="8" fillId="8" borderId="32" xfId="1" applyNumberFormat="1" applyFont="1" applyFill="1" applyBorder="1" applyAlignment="1" applyProtection="1">
      <alignment horizontal="center"/>
      <protection locked="0"/>
    </xf>
    <xf numFmtId="166" fontId="8" fillId="0" borderId="32" xfId="1" applyNumberFormat="1" applyFont="1" applyBorder="1" applyAlignment="1">
      <alignment horizontal="center"/>
    </xf>
    <xf numFmtId="166" fontId="8" fillId="12" borderId="32" xfId="1" applyNumberFormat="1" applyFont="1" applyFill="1" applyBorder="1" applyAlignment="1">
      <alignment horizontal="center"/>
    </xf>
    <xf numFmtId="166" fontId="8" fillId="0" borderId="32" xfId="1" applyNumberFormat="1" applyFont="1" applyBorder="1" applyAlignment="1" applyProtection="1">
      <alignment horizontal="center"/>
      <protection hidden="1"/>
    </xf>
    <xf numFmtId="0" fontId="8" fillId="0" borderId="30" xfId="1" applyFont="1" applyBorder="1" applyAlignment="1">
      <alignment horizontal="center"/>
    </xf>
    <xf numFmtId="166" fontId="8" fillId="8" borderId="45" xfId="1" applyNumberFormat="1" applyFont="1" applyFill="1" applyBorder="1" applyAlignment="1" applyProtection="1">
      <alignment horizontal="center"/>
      <protection locked="0"/>
    </xf>
    <xf numFmtId="0" fontId="8" fillId="14" borderId="45" xfId="1" applyFont="1" applyFill="1" applyBorder="1" applyAlignment="1">
      <alignment horizontal="center"/>
    </xf>
    <xf numFmtId="166" fontId="6" fillId="0" borderId="0" xfId="1" applyNumberFormat="1" applyFont="1" applyAlignment="1" applyProtection="1">
      <alignment horizontal="center"/>
      <protection hidden="1"/>
    </xf>
    <xf numFmtId="165" fontId="6" fillId="0" borderId="0" xfId="1" applyNumberFormat="1" applyFont="1" applyProtection="1">
      <protection hidden="1"/>
    </xf>
    <xf numFmtId="168" fontId="8" fillId="10" borderId="32" xfId="1" applyNumberFormat="1" applyFont="1" applyFill="1" applyBorder="1" applyAlignment="1" applyProtection="1">
      <alignment horizontal="center"/>
      <protection locked="0"/>
    </xf>
    <xf numFmtId="167" fontId="20" fillId="0" borderId="0" xfId="1" applyNumberFormat="1" applyFont="1" applyProtection="1">
      <protection hidden="1"/>
    </xf>
    <xf numFmtId="0" fontId="8" fillId="15" borderId="0" xfId="1" applyFont="1" applyFill="1" applyAlignment="1">
      <alignment horizontal="center"/>
    </xf>
    <xf numFmtId="39" fontId="8" fillId="15" borderId="0" xfId="1" applyNumberFormat="1" applyFont="1" applyFill="1" applyAlignment="1">
      <alignment horizontal="center"/>
    </xf>
    <xf numFmtId="168" fontId="8" fillId="15" borderId="0" xfId="1" applyNumberFormat="1" applyFont="1" applyFill="1" applyAlignment="1">
      <alignment horizontal="center"/>
    </xf>
    <xf numFmtId="167" fontId="21" fillId="7" borderId="0" xfId="1" applyNumberFormat="1" applyFont="1" applyFill="1" applyAlignment="1" applyProtection="1">
      <alignment horizontal="center"/>
      <protection hidden="1"/>
    </xf>
    <xf numFmtId="167" fontId="6" fillId="7" borderId="0" xfId="1" applyNumberFormat="1" applyFont="1" applyFill="1" applyProtection="1">
      <protection hidden="1"/>
    </xf>
    <xf numFmtId="166" fontId="8" fillId="16" borderId="0" xfId="1" applyNumberFormat="1" applyFont="1" applyFill="1"/>
    <xf numFmtId="0" fontId="16" fillId="15" borderId="0" xfId="1" applyFont="1" applyFill="1"/>
    <xf numFmtId="167" fontId="15" fillId="7" borderId="0" xfId="1" applyNumberFormat="1" applyFont="1" applyFill="1" applyProtection="1">
      <protection hidden="1"/>
    </xf>
    <xf numFmtId="168" fontId="8" fillId="0" borderId="32" xfId="1" applyNumberFormat="1" applyFont="1" applyBorder="1" applyAlignment="1">
      <alignment horizontal="center"/>
    </xf>
    <xf numFmtId="166" fontId="22" fillId="15" borderId="0" xfId="1" applyNumberFormat="1" applyFont="1" applyFill="1" applyAlignment="1">
      <alignment horizontal="center"/>
    </xf>
    <xf numFmtId="167" fontId="18" fillId="7" borderId="0" xfId="1" applyNumberFormat="1" applyFont="1" applyFill="1" applyProtection="1">
      <protection hidden="1"/>
    </xf>
    <xf numFmtId="0" fontId="8" fillId="9" borderId="0" xfId="1" applyFont="1" applyFill="1" applyAlignment="1">
      <alignment horizontal="center"/>
    </xf>
    <xf numFmtId="168" fontId="8" fillId="9" borderId="0" xfId="1" applyNumberFormat="1" applyFont="1" applyFill="1" applyAlignment="1">
      <alignment horizontal="right"/>
    </xf>
    <xf numFmtId="0" fontId="13" fillId="7" borderId="0" xfId="1" applyFill="1"/>
    <xf numFmtId="0" fontId="13" fillId="9" borderId="0" xfId="1" applyFill="1"/>
    <xf numFmtId="0" fontId="13" fillId="9" borderId="0" xfId="1" applyFill="1" applyAlignment="1">
      <alignment horizontal="center"/>
    </xf>
    <xf numFmtId="168" fontId="8" fillId="9" borderId="0" xfId="1" applyNumberFormat="1" applyFont="1" applyFill="1" applyAlignment="1" applyProtection="1">
      <alignment horizontal="center"/>
      <protection locked="0"/>
    </xf>
    <xf numFmtId="168" fontId="8" fillId="15" borderId="0" xfId="1" applyNumberFormat="1" applyFont="1" applyFill="1" applyAlignment="1" applyProtection="1">
      <alignment horizontal="center"/>
      <protection locked="0"/>
    </xf>
    <xf numFmtId="166" fontId="8" fillId="15" borderId="0" xfId="1" applyNumberFormat="1" applyFont="1" applyFill="1" applyAlignment="1" applyProtection="1">
      <alignment horizontal="center"/>
      <protection hidden="1"/>
    </xf>
    <xf numFmtId="0" fontId="8" fillId="15" borderId="0" xfId="1" applyFont="1" applyFill="1" applyAlignment="1" applyProtection="1">
      <alignment horizontal="center"/>
      <protection hidden="1"/>
    </xf>
    <xf numFmtId="166" fontId="8" fillId="15" borderId="0" xfId="1" applyNumberFormat="1" applyFont="1" applyFill="1" applyAlignment="1">
      <alignment horizontal="center"/>
    </xf>
    <xf numFmtId="2" fontId="15" fillId="9" borderId="0" xfId="1" applyNumberFormat="1" applyFont="1" applyFill="1"/>
    <xf numFmtId="2" fontId="15" fillId="0" borderId="0" xfId="1" applyNumberFormat="1" applyFont="1"/>
    <xf numFmtId="2" fontId="6" fillId="0" borderId="0" xfId="1" applyNumberFormat="1" applyFont="1"/>
    <xf numFmtId="2" fontId="6" fillId="9" borderId="0" xfId="1" applyNumberFormat="1" applyFont="1" applyFill="1"/>
    <xf numFmtId="2" fontId="6" fillId="0" borderId="0" xfId="1" applyNumberFormat="1" applyFont="1" applyAlignment="1">
      <alignment horizontal="center"/>
    </xf>
    <xf numFmtId="166" fontId="8" fillId="15" borderId="0" xfId="1" applyNumberFormat="1" applyFont="1" applyFill="1"/>
    <xf numFmtId="0" fontId="13" fillId="15" borderId="0" xfId="1" applyFill="1"/>
    <xf numFmtId="0" fontId="7" fillId="9" borderId="46" xfId="1" applyFont="1" applyFill="1" applyBorder="1" applyAlignment="1">
      <alignment horizontal="centerContinuous" vertical="center"/>
    </xf>
    <xf numFmtId="0" fontId="7" fillId="9" borderId="47" xfId="1" applyFont="1" applyFill="1" applyBorder="1" applyAlignment="1">
      <alignment horizontal="centerContinuous" vertical="center"/>
    </xf>
    <xf numFmtId="0" fontId="13" fillId="15" borderId="48" xfId="1" applyFill="1" applyBorder="1" applyAlignment="1">
      <alignment horizontal="centerContinuous"/>
    </xf>
    <xf numFmtId="0" fontId="6" fillId="15" borderId="37" xfId="1" applyFont="1" applyFill="1" applyBorder="1" applyAlignment="1">
      <alignment horizontal="right"/>
    </xf>
    <xf numFmtId="0" fontId="8" fillId="15" borderId="38" xfId="1" applyFont="1" applyFill="1" applyBorder="1" applyAlignment="1" applyProtection="1">
      <alignment horizontal="center"/>
      <protection locked="0"/>
    </xf>
    <xf numFmtId="0" fontId="8" fillId="15" borderId="37" xfId="1" applyFont="1" applyFill="1" applyBorder="1"/>
    <xf numFmtId="14" fontId="8" fillId="15" borderId="38" xfId="1" applyNumberFormat="1" applyFont="1" applyFill="1" applyBorder="1" applyAlignment="1" applyProtection="1">
      <alignment horizontal="center"/>
      <protection locked="0"/>
    </xf>
    <xf numFmtId="14" fontId="8" fillId="15" borderId="0" xfId="1" applyNumberFormat="1" applyFont="1" applyFill="1" applyAlignment="1" applyProtection="1">
      <alignment horizontal="center"/>
      <protection locked="0"/>
    </xf>
    <xf numFmtId="0" fontId="11" fillId="9" borderId="0" xfId="3" applyFont="1" applyFill="1" applyAlignment="1" applyProtection="1"/>
    <xf numFmtId="0" fontId="13" fillId="9" borderId="49" xfId="1" applyFill="1" applyBorder="1"/>
    <xf numFmtId="0" fontId="13" fillId="9" borderId="2" xfId="1" applyFill="1" applyBorder="1" applyAlignment="1">
      <alignment horizontal="right"/>
    </xf>
    <xf numFmtId="0" fontId="8" fillId="9" borderId="30" xfId="1" applyFont="1" applyFill="1" applyBorder="1" applyAlignment="1">
      <alignment horizontal="right"/>
    </xf>
    <xf numFmtId="168" fontId="8" fillId="17" borderId="50" xfId="1" applyNumberFormat="1" applyFont="1" applyFill="1" applyBorder="1" applyProtection="1">
      <protection locked="0"/>
    </xf>
    <xf numFmtId="0" fontId="8" fillId="15" borderId="0" xfId="1" applyFont="1" applyFill="1"/>
    <xf numFmtId="0" fontId="8" fillId="15" borderId="0" xfId="1" applyFont="1" applyFill="1" applyAlignment="1">
      <alignment horizontal="centerContinuous"/>
    </xf>
    <xf numFmtId="0" fontId="6" fillId="9" borderId="0" xfId="1" applyFont="1" applyFill="1"/>
    <xf numFmtId="168" fontId="8" fillId="17" borderId="51" xfId="1" applyNumberFormat="1" applyFont="1" applyFill="1" applyBorder="1" applyProtection="1">
      <protection locked="0"/>
    </xf>
    <xf numFmtId="168" fontId="8" fillId="18" borderId="32" xfId="1" applyNumberFormat="1" applyFont="1" applyFill="1" applyBorder="1"/>
    <xf numFmtId="168" fontId="8" fillId="18" borderId="52" xfId="1" applyNumberFormat="1" applyFont="1" applyFill="1" applyBorder="1" applyProtection="1">
      <protection locked="0"/>
    </xf>
    <xf numFmtId="0" fontId="13" fillId="9" borderId="34" xfId="1" applyFill="1" applyBorder="1" applyAlignment="1">
      <alignment horizontal="right"/>
    </xf>
    <xf numFmtId="0" fontId="13" fillId="9" borderId="53" xfId="1" applyFill="1" applyBorder="1"/>
    <xf numFmtId="0" fontId="8" fillId="9" borderId="54" xfId="1" applyFont="1" applyFill="1" applyBorder="1" applyAlignment="1">
      <alignment horizontal="centerContinuous"/>
    </xf>
    <xf numFmtId="0" fontId="8" fillId="9" borderId="55" xfId="1" applyFont="1" applyFill="1" applyBorder="1" applyAlignment="1">
      <alignment horizontal="centerContinuous"/>
    </xf>
    <xf numFmtId="170" fontId="8" fillId="19" borderId="56" xfId="1" applyNumberFormat="1" applyFont="1" applyFill="1" applyBorder="1" applyProtection="1">
      <protection hidden="1"/>
    </xf>
    <xf numFmtId="0" fontId="17" fillId="9" borderId="22" xfId="1" applyFont="1" applyFill="1" applyBorder="1" applyAlignment="1">
      <alignment horizontal="center"/>
    </xf>
    <xf numFmtId="0" fontId="17" fillId="15" borderId="22" xfId="1" applyFont="1" applyFill="1" applyBorder="1" applyAlignment="1">
      <alignment horizontal="center"/>
    </xf>
    <xf numFmtId="0" fontId="17" fillId="15" borderId="59" xfId="1" applyFont="1" applyFill="1" applyBorder="1" applyAlignment="1">
      <alignment horizontal="center"/>
    </xf>
    <xf numFmtId="0" fontId="17" fillId="15" borderId="60" xfId="1" applyFont="1" applyFill="1" applyBorder="1" applyAlignment="1">
      <alignment horizontal="center"/>
    </xf>
    <xf numFmtId="0" fontId="17" fillId="15" borderId="0" xfId="1" applyFont="1" applyFill="1" applyAlignment="1">
      <alignment horizontal="center"/>
    </xf>
    <xf numFmtId="0" fontId="17" fillId="9" borderId="33" xfId="1" applyFont="1" applyFill="1" applyBorder="1" applyAlignment="1">
      <alignment horizontal="center"/>
    </xf>
    <xf numFmtId="0" fontId="17" fillId="15" borderId="33" xfId="1" applyFont="1" applyFill="1" applyBorder="1" applyAlignment="1">
      <alignment horizontal="center"/>
    </xf>
    <xf numFmtId="0" fontId="17" fillId="15" borderId="63" xfId="1" applyFont="1" applyFill="1" applyBorder="1" applyAlignment="1">
      <alignment horizontal="center"/>
    </xf>
    <xf numFmtId="0" fontId="13" fillId="9" borderId="64" xfId="1" applyFill="1" applyBorder="1" applyAlignment="1">
      <alignment horizontal="center"/>
    </xf>
    <xf numFmtId="0" fontId="8" fillId="9" borderId="32" xfId="1" applyFont="1" applyFill="1" applyBorder="1" applyAlignment="1">
      <alignment horizontal="center"/>
    </xf>
    <xf numFmtId="0" fontId="8" fillId="20" borderId="32" xfId="1" applyFont="1" applyFill="1" applyBorder="1" applyAlignment="1">
      <alignment horizontal="center"/>
    </xf>
    <xf numFmtId="168" fontId="8" fillId="17" borderId="32" xfId="1" applyNumberFormat="1" applyFont="1" applyFill="1" applyBorder="1" applyAlignment="1" applyProtection="1">
      <alignment horizontal="center"/>
      <protection locked="0"/>
    </xf>
    <xf numFmtId="166" fontId="8" fillId="15" borderId="32" xfId="1" applyNumberFormat="1" applyFont="1" applyFill="1" applyBorder="1" applyAlignment="1" applyProtection="1">
      <alignment horizontal="center"/>
      <protection hidden="1"/>
    </xf>
    <xf numFmtId="166" fontId="8" fillId="19" borderId="32" xfId="1" applyNumberFormat="1" applyFont="1" applyFill="1" applyBorder="1" applyAlignment="1" applyProtection="1">
      <alignment horizontal="center"/>
      <protection hidden="1"/>
    </xf>
    <xf numFmtId="0" fontId="8" fillId="15" borderId="65" xfId="1" applyFont="1" applyFill="1" applyBorder="1" applyAlignment="1" applyProtection="1">
      <alignment horizontal="center"/>
      <protection hidden="1"/>
    </xf>
    <xf numFmtId="168" fontId="8" fillId="21" borderId="32" xfId="1" applyNumberFormat="1" applyFont="1" applyFill="1" applyBorder="1" applyAlignment="1" applyProtection="1">
      <alignment horizontal="center"/>
      <protection locked="0"/>
    </xf>
    <xf numFmtId="166" fontId="8" fillId="15" borderId="41" xfId="1" applyNumberFormat="1" applyFont="1" applyFill="1" applyBorder="1" applyAlignment="1" applyProtection="1">
      <alignment horizontal="center"/>
      <protection hidden="1"/>
    </xf>
    <xf numFmtId="0" fontId="8" fillId="15" borderId="66" xfId="1" applyFont="1" applyFill="1" applyBorder="1" applyAlignment="1" applyProtection="1">
      <alignment horizontal="center"/>
      <protection hidden="1"/>
    </xf>
    <xf numFmtId="166" fontId="8" fillId="15" borderId="66" xfId="1" applyNumberFormat="1" applyFont="1" applyFill="1" applyBorder="1" applyAlignment="1" applyProtection="1">
      <alignment horizontal="center"/>
      <protection hidden="1"/>
    </xf>
    <xf numFmtId="166" fontId="8" fillId="15" borderId="30" xfId="1" applyNumberFormat="1" applyFont="1" applyFill="1" applyBorder="1" applyAlignment="1" applyProtection="1">
      <alignment horizontal="center"/>
      <protection hidden="1"/>
    </xf>
    <xf numFmtId="166" fontId="8" fillId="15" borderId="68" xfId="1" applyNumberFormat="1" applyFont="1" applyFill="1" applyBorder="1"/>
    <xf numFmtId="168" fontId="8" fillId="9" borderId="32" xfId="1" applyNumberFormat="1" applyFont="1" applyFill="1" applyBorder="1" applyAlignment="1" applyProtection="1">
      <alignment horizontal="center"/>
      <protection hidden="1"/>
    </xf>
    <xf numFmtId="168" fontId="8" fillId="15" borderId="32" xfId="1" applyNumberFormat="1" applyFont="1" applyFill="1" applyBorder="1" applyAlignment="1" applyProtection="1">
      <alignment horizontal="center"/>
      <protection hidden="1"/>
    </xf>
    <xf numFmtId="166" fontId="8" fillId="15" borderId="68" xfId="1" applyNumberFormat="1" applyFont="1" applyFill="1" applyBorder="1" applyAlignment="1" applyProtection="1">
      <alignment horizontal="center"/>
      <protection hidden="1"/>
    </xf>
    <xf numFmtId="166" fontId="8" fillId="9" borderId="41" xfId="1" applyNumberFormat="1" applyFont="1" applyFill="1" applyBorder="1" applyAlignment="1" applyProtection="1">
      <alignment horizontal="center"/>
      <protection hidden="1"/>
    </xf>
    <xf numFmtId="0" fontId="13" fillId="5" borderId="0" xfId="1" applyFill="1"/>
    <xf numFmtId="0" fontId="7" fillId="6" borderId="71" xfId="1" applyFont="1" applyFill="1" applyBorder="1" applyAlignment="1">
      <alignment horizontal="centerContinuous" vertical="center"/>
    </xf>
    <xf numFmtId="0" fontId="7" fillId="6" borderId="72" xfId="1" applyFont="1" applyFill="1" applyBorder="1" applyAlignment="1">
      <alignment horizontal="centerContinuous" vertical="center"/>
    </xf>
    <xf numFmtId="0" fontId="7" fillId="6" borderId="73" xfId="1" applyFont="1" applyFill="1" applyBorder="1" applyAlignment="1">
      <alignment horizontal="centerContinuous" vertical="center"/>
    </xf>
    <xf numFmtId="14" fontId="8" fillId="4" borderId="0" xfId="1" applyNumberFormat="1" applyFont="1" applyFill="1" applyAlignment="1" applyProtection="1">
      <alignment horizontal="center"/>
      <protection locked="0"/>
    </xf>
    <xf numFmtId="0" fontId="16" fillId="5" borderId="0" xfId="1" applyFont="1" applyFill="1"/>
    <xf numFmtId="0" fontId="15" fillId="5" borderId="0" xfId="1" applyFont="1" applyFill="1"/>
    <xf numFmtId="0" fontId="11" fillId="5" borderId="0" xfId="3" applyFont="1" applyFill="1" applyAlignment="1" applyProtection="1"/>
    <xf numFmtId="2" fontId="15" fillId="5" borderId="0" xfId="1" applyNumberFormat="1" applyFont="1" applyFill="1"/>
    <xf numFmtId="0" fontId="13" fillId="0" borderId="49" xfId="1" applyBorder="1"/>
    <xf numFmtId="0" fontId="13" fillId="0" borderId="2" xfId="1" applyBorder="1" applyAlignment="1">
      <alignment horizontal="right"/>
    </xf>
    <xf numFmtId="0" fontId="8" fillId="0" borderId="30" xfId="1" applyFont="1" applyBorder="1" applyAlignment="1">
      <alignment horizontal="right"/>
    </xf>
    <xf numFmtId="168" fontId="8" fillId="8" borderId="52" xfId="1" applyNumberFormat="1" applyFont="1" applyFill="1" applyBorder="1" applyProtection="1">
      <protection locked="0"/>
    </xf>
    <xf numFmtId="0" fontId="8" fillId="5" borderId="0" xfId="1" applyFont="1" applyFill="1"/>
    <xf numFmtId="0" fontId="8" fillId="5" borderId="0" xfId="1" applyFont="1" applyFill="1" applyAlignment="1">
      <alignment horizontal="centerContinuous"/>
    </xf>
    <xf numFmtId="166" fontId="8" fillId="5" borderId="0" xfId="1" applyNumberFormat="1" applyFont="1" applyFill="1"/>
    <xf numFmtId="168" fontId="8" fillId="8" borderId="51" xfId="1" applyNumberFormat="1" applyFont="1" applyFill="1" applyBorder="1" applyProtection="1">
      <protection locked="0"/>
    </xf>
    <xf numFmtId="0" fontId="13" fillId="0" borderId="34" xfId="1" applyBorder="1" applyAlignment="1">
      <alignment horizontal="right"/>
    </xf>
    <xf numFmtId="0" fontId="13" fillId="0" borderId="53" xfId="1" applyBorder="1"/>
    <xf numFmtId="0" fontId="8" fillId="0" borderId="54" xfId="1" applyFont="1" applyBorder="1" applyAlignment="1">
      <alignment horizontal="centerContinuous"/>
    </xf>
    <xf numFmtId="0" fontId="8" fillId="0" borderId="55" xfId="1" applyFont="1" applyBorder="1" applyAlignment="1">
      <alignment horizontal="centerContinuous"/>
    </xf>
    <xf numFmtId="170" fontId="8" fillId="0" borderId="56" xfId="1" applyNumberFormat="1" applyFont="1" applyBorder="1"/>
    <xf numFmtId="0" fontId="17" fillId="0" borderId="59" xfId="1" applyFont="1" applyBorder="1" applyAlignment="1">
      <alignment horizontal="center"/>
    </xf>
    <xf numFmtId="0" fontId="17" fillId="0" borderId="60" xfId="1" applyFont="1" applyBorder="1" applyAlignment="1">
      <alignment horizontal="center"/>
    </xf>
    <xf numFmtId="0" fontId="17" fillId="5" borderId="0" xfId="1" applyFont="1" applyFill="1" applyAlignment="1">
      <alignment horizontal="center"/>
    </xf>
    <xf numFmtId="0" fontId="17" fillId="0" borderId="63" xfId="1" applyFont="1" applyBorder="1" applyAlignment="1">
      <alignment horizontal="center"/>
    </xf>
    <xf numFmtId="0" fontId="13" fillId="0" borderId="64" xfId="1" applyBorder="1" applyAlignment="1">
      <alignment horizontal="center"/>
    </xf>
    <xf numFmtId="0" fontId="8" fillId="0" borderId="65" xfId="1" applyFont="1" applyBorder="1" applyAlignment="1" applyProtection="1">
      <alignment horizontal="center"/>
      <protection hidden="1"/>
    </xf>
    <xf numFmtId="166" fontId="8" fillId="5" borderId="0" xfId="1" applyNumberFormat="1" applyFont="1" applyFill="1" applyAlignment="1">
      <alignment horizontal="center"/>
    </xf>
    <xf numFmtId="168" fontId="8" fillId="18" borderId="32" xfId="1" applyNumberFormat="1" applyFont="1" applyFill="1" applyBorder="1" applyAlignment="1" applyProtection="1">
      <alignment horizontal="center"/>
      <protection locked="0"/>
    </xf>
    <xf numFmtId="166" fontId="8" fillId="0" borderId="41" xfId="1" applyNumberFormat="1" applyFont="1" applyBorder="1" applyAlignment="1" applyProtection="1">
      <alignment horizontal="center"/>
      <protection hidden="1"/>
    </xf>
    <xf numFmtId="0" fontId="8" fillId="0" borderId="66" xfId="1" applyFont="1" applyBorder="1" applyAlignment="1" applyProtection="1">
      <alignment horizontal="center"/>
      <protection hidden="1"/>
    </xf>
    <xf numFmtId="0" fontId="8" fillId="5" borderId="0" xfId="1" applyFont="1" applyFill="1" applyAlignment="1">
      <alignment horizontal="center"/>
    </xf>
    <xf numFmtId="39" fontId="8" fillId="5" borderId="0" xfId="1" applyNumberFormat="1" applyFont="1" applyFill="1" applyAlignment="1">
      <alignment horizontal="center"/>
    </xf>
    <xf numFmtId="0" fontId="8" fillId="0" borderId="30" xfId="1" applyFont="1" applyBorder="1" applyAlignment="1" applyProtection="1">
      <alignment horizontal="center"/>
      <protection hidden="1"/>
    </xf>
    <xf numFmtId="166" fontId="8" fillId="16" borderId="68" xfId="1" applyNumberFormat="1" applyFont="1" applyFill="1" applyBorder="1"/>
    <xf numFmtId="168" fontId="8" fillId="0" borderId="32" xfId="1" applyNumberFormat="1" applyFont="1" applyBorder="1" applyAlignment="1" applyProtection="1">
      <alignment horizontal="center"/>
      <protection hidden="1"/>
    </xf>
    <xf numFmtId="166" fontId="8" fillId="0" borderId="68" xfId="1" applyNumberFormat="1" applyFont="1" applyBorder="1" applyAlignment="1" applyProtection="1">
      <alignment horizontal="center"/>
      <protection hidden="1"/>
    </xf>
    <xf numFmtId="166" fontId="22" fillId="5" borderId="0" xfId="1" applyNumberFormat="1" applyFont="1" applyFill="1" applyAlignment="1">
      <alignment horizontal="center"/>
    </xf>
    <xf numFmtId="166" fontId="8" fillId="0" borderId="66" xfId="1" applyNumberFormat="1" applyFont="1" applyBorder="1" applyAlignment="1" applyProtection="1">
      <alignment horizontal="center"/>
      <protection hidden="1"/>
    </xf>
    <xf numFmtId="0" fontId="16" fillId="5" borderId="0" xfId="1" applyFont="1" applyFill="1" applyProtection="1">
      <protection hidden="1"/>
    </xf>
    <xf numFmtId="0" fontId="18" fillId="0" borderId="0" xfId="1" applyFont="1" applyProtection="1">
      <protection hidden="1"/>
    </xf>
    <xf numFmtId="0" fontId="20" fillId="0" borderId="0" xfId="1" applyFont="1" applyProtection="1">
      <protection hidden="1"/>
    </xf>
    <xf numFmtId="169" fontId="18" fillId="0" borderId="0" xfId="2" applyNumberFormat="1" applyFont="1" applyProtection="1">
      <protection hidden="1"/>
    </xf>
    <xf numFmtId="0" fontId="18" fillId="0" borderId="0" xfId="2" applyNumberFormat="1" applyFont="1" applyProtection="1">
      <protection hidden="1"/>
    </xf>
    <xf numFmtId="2" fontId="18" fillId="0" borderId="0" xfId="2" applyNumberFormat="1" applyFont="1" applyProtection="1">
      <protection hidden="1"/>
    </xf>
    <xf numFmtId="2" fontId="18" fillId="0" borderId="0" xfId="1" applyNumberFormat="1" applyFont="1" applyProtection="1">
      <protection hidden="1"/>
    </xf>
    <xf numFmtId="167" fontId="13" fillId="0" borderId="0" xfId="1" applyNumberFormat="1" applyProtection="1">
      <protection hidden="1"/>
    </xf>
    <xf numFmtId="0" fontId="20" fillId="0" borderId="0" xfId="1" applyFont="1" applyAlignment="1" applyProtection="1">
      <alignment horizontal="center"/>
      <protection hidden="1"/>
    </xf>
    <xf numFmtId="166" fontId="20" fillId="0" borderId="0" xfId="1" applyNumberFormat="1" applyFont="1" applyAlignment="1" applyProtection="1">
      <alignment horizontal="center"/>
      <protection hidden="1"/>
    </xf>
    <xf numFmtId="166" fontId="20" fillId="0" borderId="0" xfId="1" applyNumberFormat="1" applyFont="1" applyProtection="1">
      <protection hidden="1"/>
    </xf>
    <xf numFmtId="167" fontId="20" fillId="7" borderId="0" xfId="1" applyNumberFormat="1" applyFont="1" applyFill="1" applyAlignment="1" applyProtection="1">
      <alignment horizontal="center"/>
      <protection hidden="1"/>
    </xf>
    <xf numFmtId="167" fontId="20" fillId="7" borderId="0" xfId="1" applyNumberFormat="1" applyFont="1" applyFill="1" applyProtection="1">
      <protection hidden="1"/>
    </xf>
    <xf numFmtId="0" fontId="18" fillId="9" borderId="0" xfId="1" applyFont="1" applyFill="1"/>
    <xf numFmtId="2" fontId="18" fillId="9" borderId="0" xfId="1" applyNumberFormat="1" applyFont="1" applyFill="1"/>
    <xf numFmtId="2" fontId="18" fillId="0" borderId="0" xfId="1" applyNumberFormat="1" applyFont="1"/>
    <xf numFmtId="2" fontId="20" fillId="0" borderId="0" xfId="1" applyNumberFormat="1" applyFont="1"/>
    <xf numFmtId="2" fontId="20" fillId="9" borderId="0" xfId="1" applyNumberFormat="1" applyFont="1" applyFill="1"/>
    <xf numFmtId="2" fontId="20" fillId="0" borderId="0" xfId="1" applyNumberFormat="1" applyFont="1" applyAlignment="1">
      <alignment horizontal="center"/>
    </xf>
    <xf numFmtId="0" fontId="25" fillId="9" borderId="0" xfId="3" applyFont="1" applyFill="1" applyAlignment="1" applyProtection="1"/>
    <xf numFmtId="0" fontId="20" fillId="9" borderId="0" xfId="1" applyFont="1" applyFill="1"/>
    <xf numFmtId="0" fontId="25" fillId="5" borderId="0" xfId="3" applyFont="1" applyFill="1" applyAlignment="1" applyProtection="1"/>
    <xf numFmtId="0" fontId="18" fillId="5" borderId="0" xfId="1" applyFont="1" applyFill="1"/>
    <xf numFmtId="2" fontId="18" fillId="5" borderId="0" xfId="1" applyNumberFormat="1" applyFont="1" applyFill="1"/>
    <xf numFmtId="0" fontId="26" fillId="0" borderId="0" xfId="1" applyFont="1" applyProtection="1">
      <protection hidden="1"/>
    </xf>
    <xf numFmtId="0" fontId="26" fillId="0" borderId="0" xfId="1" applyFont="1"/>
    <xf numFmtId="0" fontId="27" fillId="0" borderId="0" xfId="1" applyFont="1" applyAlignment="1" applyProtection="1">
      <alignment horizontal="center"/>
      <protection hidden="1"/>
    </xf>
    <xf numFmtId="166" fontId="27" fillId="0" borderId="0" xfId="1" applyNumberFormat="1" applyFont="1" applyProtection="1">
      <protection hidden="1"/>
    </xf>
    <xf numFmtId="0" fontId="27" fillId="0" borderId="0" xfId="1" applyFont="1" applyProtection="1">
      <protection hidden="1"/>
    </xf>
    <xf numFmtId="167" fontId="13" fillId="7" borderId="0" xfId="1" applyNumberFormat="1" applyFill="1" applyProtection="1">
      <protection hidden="1"/>
    </xf>
    <xf numFmtId="2" fontId="26" fillId="0" borderId="0" xfId="1" applyNumberFormat="1" applyFont="1"/>
    <xf numFmtId="166" fontId="6" fillId="0" borderId="0" xfId="1" applyNumberFormat="1" applyFont="1" applyProtection="1">
      <protection hidden="1"/>
    </xf>
    <xf numFmtId="0" fontId="6" fillId="0" borderId="32" xfId="1" applyFont="1" applyBorder="1" applyAlignment="1">
      <alignment horizontal="center"/>
    </xf>
    <xf numFmtId="0" fontId="13" fillId="0" borderId="32" xfId="1" applyBorder="1" applyAlignment="1">
      <alignment horizontal="center"/>
    </xf>
    <xf numFmtId="0" fontId="13" fillId="0" borderId="74" xfId="1" applyBorder="1"/>
    <xf numFmtId="0" fontId="13" fillId="0" borderId="75" xfId="1" applyBorder="1"/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9" xfId="1" applyFont="1" applyBorder="1" applyAlignment="1">
      <alignment horizontal="center"/>
    </xf>
    <xf numFmtId="165" fontId="6" fillId="0" borderId="9" xfId="1" applyNumberFormat="1" applyFont="1" applyBorder="1" applyAlignment="1">
      <alignment horizontal="center"/>
    </xf>
    <xf numFmtId="0" fontId="6" fillId="0" borderId="76" xfId="1" applyFont="1" applyBorder="1" applyAlignment="1">
      <alignment horizontal="center"/>
    </xf>
    <xf numFmtId="165" fontId="6" fillId="0" borderId="76" xfId="1" applyNumberFormat="1" applyFont="1" applyBorder="1" applyAlignment="1">
      <alignment horizontal="center"/>
    </xf>
    <xf numFmtId="2" fontId="6" fillId="0" borderId="76" xfId="1" applyNumberFormat="1" applyFont="1" applyBorder="1" applyAlignment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Continuous"/>
    </xf>
    <xf numFmtId="0" fontId="0" fillId="0" borderId="0" xfId="0" applyProtection="1"/>
    <xf numFmtId="0" fontId="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4" fillId="0" borderId="0" xfId="0" applyFont="1" applyAlignment="1" applyProtection="1">
      <alignment horizontal="right"/>
    </xf>
    <xf numFmtId="0" fontId="4" fillId="0" borderId="0" xfId="0" applyFont="1" applyProtection="1"/>
    <xf numFmtId="0" fontId="4" fillId="0" borderId="0" xfId="0" applyFont="1" applyAlignment="1" applyProtection="1">
      <alignment horizontal="centerContinuous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164" fontId="5" fillId="0" borderId="0" xfId="0" applyNumberFormat="1" applyFont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8" xfId="0" applyBorder="1" applyProtection="1"/>
    <xf numFmtId="0" fontId="6" fillId="0" borderId="0" xfId="0" applyFont="1" applyProtection="1"/>
    <xf numFmtId="0" fontId="6" fillId="0" borderId="9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165" fontId="7" fillId="4" borderId="22" xfId="0" applyNumberFormat="1" applyFont="1" applyFill="1" applyBorder="1" applyAlignment="1" applyProtection="1">
      <alignment horizontal="center"/>
    </xf>
    <xf numFmtId="165" fontId="7" fillId="4" borderId="23" xfId="0" applyNumberFormat="1" applyFont="1" applyFill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165" fontId="7" fillId="4" borderId="26" xfId="0" applyNumberFormat="1" applyFont="1" applyFill="1" applyBorder="1" applyAlignment="1" applyProtection="1">
      <alignment horizontal="center"/>
    </xf>
    <xf numFmtId="165" fontId="7" fillId="4" borderId="27" xfId="0" applyNumberFormat="1" applyFont="1" applyFill="1" applyBorder="1" applyAlignment="1" applyProtection="1">
      <alignment horizontal="center"/>
    </xf>
    <xf numFmtId="165" fontId="6" fillId="0" borderId="22" xfId="0" applyNumberFormat="1" applyFont="1" applyBorder="1" applyAlignment="1" applyProtection="1">
      <alignment horizontal="center"/>
    </xf>
    <xf numFmtId="165" fontId="10" fillId="4" borderId="19" xfId="0" applyNumberFormat="1" applyFont="1" applyFill="1" applyBorder="1" applyAlignment="1" applyProtection="1">
      <alignment horizontal="center"/>
    </xf>
    <xf numFmtId="165" fontId="10" fillId="4" borderId="20" xfId="0" applyNumberFormat="1" applyFont="1" applyFill="1" applyBorder="1" applyAlignment="1" applyProtection="1">
      <alignment horizontal="center"/>
    </xf>
    <xf numFmtId="0" fontId="6" fillId="0" borderId="9" xfId="0" applyFont="1" applyBorder="1" applyProtection="1"/>
    <xf numFmtId="165" fontId="6" fillId="0" borderId="32" xfId="0" applyNumberFormat="1" applyFont="1" applyBorder="1" applyAlignment="1" applyProtection="1">
      <alignment horizontal="center"/>
    </xf>
    <xf numFmtId="0" fontId="6" fillId="0" borderId="32" xfId="0" applyFont="1" applyBorder="1" applyAlignment="1" applyProtection="1">
      <alignment horizontal="center"/>
    </xf>
    <xf numFmtId="0" fontId="6" fillId="0" borderId="33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Continuous"/>
    </xf>
    <xf numFmtId="166" fontId="6" fillId="0" borderId="32" xfId="0" applyNumberFormat="1" applyFont="1" applyBorder="1" applyAlignment="1" applyProtection="1">
      <alignment horizontal="center"/>
    </xf>
    <xf numFmtId="0" fontId="8" fillId="0" borderId="32" xfId="0" applyFont="1" applyBorder="1" applyAlignment="1" applyProtection="1">
      <alignment horizontal="center"/>
    </xf>
    <xf numFmtId="2" fontId="6" fillId="0" borderId="32" xfId="0" applyNumberFormat="1" applyFont="1" applyBorder="1" applyAlignment="1" applyProtection="1">
      <alignment horizontal="center"/>
    </xf>
    <xf numFmtId="2" fontId="6" fillId="0" borderId="0" xfId="0" applyNumberFormat="1" applyFont="1" applyProtection="1"/>
    <xf numFmtId="0" fontId="11" fillId="0" borderId="0" xfId="0" applyFont="1" applyProtection="1"/>
    <xf numFmtId="0" fontId="11" fillId="0" borderId="0" xfId="0" applyFont="1" applyAlignment="1" applyProtection="1">
      <alignment horizontal="centerContinuous"/>
    </xf>
    <xf numFmtId="166" fontId="6" fillId="0" borderId="0" xfId="0" applyNumberFormat="1" applyFont="1" applyAlignment="1" applyProtection="1">
      <alignment horizontal="right"/>
    </xf>
    <xf numFmtId="166" fontId="6" fillId="0" borderId="0" xfId="0" applyNumberFormat="1" applyFont="1" applyAlignment="1" applyProtection="1">
      <alignment horizontal="left"/>
    </xf>
    <xf numFmtId="0" fontId="6" fillId="3" borderId="19" xfId="0" applyFont="1" applyFill="1" applyBorder="1" applyAlignment="1" applyProtection="1">
      <alignment horizontal="center"/>
      <protection locked="0"/>
    </xf>
    <xf numFmtId="0" fontId="6" fillId="5" borderId="19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</xf>
    <xf numFmtId="164" fontId="5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1" xfId="0" applyFont="1" applyBorder="1" applyProtection="1"/>
    <xf numFmtId="0" fontId="4" fillId="0" borderId="1" xfId="0" applyFont="1" applyBorder="1" applyProtection="1"/>
    <xf numFmtId="0" fontId="4" fillId="0" borderId="2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9" fillId="4" borderId="24" xfId="0" applyFont="1" applyFill="1" applyBorder="1" applyAlignment="1" applyProtection="1">
      <alignment horizontal="center"/>
    </xf>
    <xf numFmtId="0" fontId="10" fillId="4" borderId="29" xfId="0" applyFont="1" applyFill="1" applyBorder="1" applyAlignment="1" applyProtection="1">
      <alignment horizontal="center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</xf>
    <xf numFmtId="0" fontId="0" fillId="0" borderId="6" xfId="0" applyBorder="1" applyProtection="1"/>
    <xf numFmtId="0" fontId="0" fillId="0" borderId="7" xfId="0" applyBorder="1" applyProtection="1"/>
    <xf numFmtId="0" fontId="7" fillId="0" borderId="11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8" fillId="4" borderId="8" xfId="0" applyFont="1" applyFill="1" applyBorder="1" applyAlignment="1" applyProtection="1">
      <alignment horizontal="center"/>
    </xf>
    <xf numFmtId="0" fontId="0" fillId="4" borderId="21" xfId="0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0" fillId="4" borderId="25" xfId="0" applyFill="1" applyBorder="1" applyAlignment="1" applyProtection="1">
      <alignment horizontal="center"/>
    </xf>
    <xf numFmtId="0" fontId="8" fillId="0" borderId="28" xfId="0" applyFont="1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1" xfId="0" applyBorder="1" applyProtection="1"/>
    <xf numFmtId="0" fontId="5" fillId="0" borderId="2" xfId="0" applyFont="1" applyBorder="1" applyProtection="1"/>
    <xf numFmtId="0" fontId="0" fillId="0" borderId="2" xfId="0" applyBorder="1" applyProtection="1"/>
    <xf numFmtId="0" fontId="12" fillId="0" borderId="0" xfId="0" applyFont="1" applyAlignment="1" applyProtection="1">
      <alignment horizontal="center"/>
    </xf>
    <xf numFmtId="0" fontId="1" fillId="0" borderId="34" xfId="0" applyFont="1" applyBorder="1" applyAlignment="1" applyProtection="1">
      <alignment horizontal="center"/>
    </xf>
    <xf numFmtId="0" fontId="6" fillId="0" borderId="30" xfId="0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right"/>
    </xf>
    <xf numFmtId="0" fontId="6" fillId="0" borderId="31" xfId="0" applyFont="1" applyBorder="1" applyAlignment="1" applyProtection="1">
      <alignment horizontal="right"/>
    </xf>
    <xf numFmtId="0" fontId="0" fillId="0" borderId="2" xfId="0" applyBorder="1" applyAlignment="1" applyProtection="1">
      <alignment horizontal="right"/>
    </xf>
    <xf numFmtId="0" fontId="0" fillId="0" borderId="31" xfId="0" applyBorder="1" applyAlignment="1" applyProtection="1">
      <alignment horizontal="right"/>
    </xf>
    <xf numFmtId="0" fontId="6" fillId="0" borderId="0" xfId="0" quotePrefix="1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8" fillId="9" borderId="67" xfId="1" applyFont="1" applyFill="1" applyBorder="1" applyAlignment="1">
      <alignment horizontal="center"/>
    </xf>
    <xf numFmtId="0" fontId="13" fillId="9" borderId="31" xfId="1" applyFill="1" applyBorder="1"/>
    <xf numFmtId="0" fontId="14" fillId="6" borderId="35" xfId="1" applyFont="1" applyFill="1" applyBorder="1" applyAlignment="1">
      <alignment horizontal="center"/>
    </xf>
    <xf numFmtId="0" fontId="3" fillId="6" borderId="1" xfId="1" applyFont="1" applyFill="1" applyBorder="1"/>
    <xf numFmtId="0" fontId="3" fillId="6" borderId="36" xfId="1" applyFont="1" applyFill="1" applyBorder="1"/>
    <xf numFmtId="0" fontId="8" fillId="0" borderId="42" xfId="1" applyFont="1" applyBorder="1" applyAlignment="1">
      <alignment horizontal="center"/>
    </xf>
    <xf numFmtId="0" fontId="8" fillId="0" borderId="43" xfId="1" applyFont="1" applyBorder="1" applyAlignment="1">
      <alignment horizontal="center"/>
    </xf>
    <xf numFmtId="0" fontId="13" fillId="0" borderId="44" xfId="1" applyBorder="1" applyAlignment="1">
      <alignment horizontal="center"/>
    </xf>
    <xf numFmtId="0" fontId="8" fillId="0" borderId="45" xfId="1" applyFont="1" applyBorder="1" applyAlignment="1">
      <alignment horizontal="right"/>
    </xf>
    <xf numFmtId="0" fontId="13" fillId="0" borderId="45" xfId="1" applyBorder="1" applyAlignment="1">
      <alignment horizontal="right"/>
    </xf>
    <xf numFmtId="0" fontId="6" fillId="0" borderId="45" xfId="1" applyFont="1" applyBorder="1" applyAlignment="1">
      <alignment horizontal="center"/>
    </xf>
    <xf numFmtId="0" fontId="8" fillId="9" borderId="0" xfId="1" applyFont="1" applyFill="1" applyAlignment="1">
      <alignment horizontal="center"/>
    </xf>
    <xf numFmtId="0" fontId="13" fillId="9" borderId="0" xfId="1" applyFill="1"/>
    <xf numFmtId="0" fontId="13" fillId="9" borderId="57" xfId="1" applyFill="1" applyBorder="1"/>
    <xf numFmtId="0" fontId="13" fillId="9" borderId="58" xfId="1" applyFill="1" applyBorder="1"/>
    <xf numFmtId="0" fontId="19" fillId="9" borderId="61" xfId="1" applyFont="1" applyFill="1" applyBorder="1" applyAlignment="1">
      <alignment horizontal="center"/>
    </xf>
    <xf numFmtId="0" fontId="19" fillId="9" borderId="62" xfId="1" applyFont="1" applyFill="1" applyBorder="1" applyAlignment="1">
      <alignment horizontal="center"/>
    </xf>
    <xf numFmtId="0" fontId="8" fillId="0" borderId="69" xfId="1" applyFont="1" applyBorder="1" applyAlignment="1">
      <alignment horizontal="center"/>
    </xf>
    <xf numFmtId="0" fontId="13" fillId="0" borderId="70" xfId="1" applyBorder="1"/>
    <xf numFmtId="0" fontId="24" fillId="5" borderId="0" xfId="1" applyFont="1" applyFill="1" applyAlignment="1">
      <alignment vertical="top"/>
    </xf>
    <xf numFmtId="0" fontId="8" fillId="9" borderId="69" xfId="1" applyFont="1" applyFill="1" applyBorder="1" applyAlignment="1">
      <alignment horizontal="center"/>
    </xf>
    <xf numFmtId="0" fontId="13" fillId="9" borderId="70" xfId="1" applyFill="1" applyBorder="1"/>
    <xf numFmtId="0" fontId="13" fillId="0" borderId="57" xfId="1" applyBorder="1"/>
    <xf numFmtId="0" fontId="13" fillId="0" borderId="58" xfId="1" applyBorder="1"/>
    <xf numFmtId="0" fontId="19" fillId="0" borderId="61" xfId="1" applyFont="1" applyBorder="1" applyAlignment="1">
      <alignment horizontal="center"/>
    </xf>
    <xf numFmtId="0" fontId="19" fillId="0" borderId="62" xfId="1" applyFont="1" applyBorder="1" applyAlignment="1">
      <alignment horizontal="center"/>
    </xf>
    <xf numFmtId="0" fontId="8" fillId="0" borderId="67" xfId="1" applyFont="1" applyBorder="1" applyAlignment="1">
      <alignment horizontal="center"/>
    </xf>
    <xf numFmtId="0" fontId="13" fillId="0" borderId="31" xfId="1" applyBorder="1"/>
    <xf numFmtId="0" fontId="3" fillId="0" borderId="0" xfId="1" applyFont="1" applyAlignment="1">
      <alignment horizontal="center"/>
    </xf>
    <xf numFmtId="0" fontId="3" fillId="0" borderId="21" xfId="1" applyFont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13" fillId="0" borderId="2" xfId="1" applyBorder="1"/>
    <xf numFmtId="0" fontId="8" fillId="0" borderId="77" xfId="1" applyFont="1" applyBorder="1" applyAlignment="1">
      <alignment horizontal="center"/>
    </xf>
    <xf numFmtId="0" fontId="13" fillId="0" borderId="78" xfId="1" applyBorder="1" applyAlignment="1">
      <alignment horizontal="center"/>
    </xf>
  </cellXfs>
  <cellStyles count="4">
    <cellStyle name="Hyperlink" xfId="3" builtinId="8"/>
    <cellStyle name="Normal" xfId="0" builtinId="0"/>
    <cellStyle name="Normal 2" xfId="1" xr:uid="{B07EED24-EABE-464E-8F2E-4FA3BF71BC77}"/>
    <cellStyle name="Percent 2" xfId="2" xr:uid="{6C98F881-96EB-4335-91D8-F968A39ADC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BADCB-5F5C-4DFD-BD7F-BBD982E8FA4A}">
  <dimension ref="A1:O50"/>
  <sheetViews>
    <sheetView tabSelected="1" topLeftCell="A16" workbookViewId="0">
      <selection activeCell="B25" sqref="B25"/>
    </sheetView>
  </sheetViews>
  <sheetFormatPr defaultRowHeight="15" x14ac:dyDescent="0.25"/>
  <cols>
    <col min="1" max="1" width="14.140625" style="237" customWidth="1"/>
    <col min="2" max="2" width="11.28515625" style="237" customWidth="1"/>
    <col min="3" max="3" width="12.42578125" style="237" customWidth="1"/>
    <col min="4" max="16384" width="9.140625" style="237"/>
  </cols>
  <sheetData>
    <row r="1" spans="1:15" ht="18" x14ac:dyDescent="0.25">
      <c r="A1" s="235" t="s">
        <v>163</v>
      </c>
      <c r="B1" s="285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36" t="s">
        <v>1</v>
      </c>
      <c r="O1" s="236"/>
    </row>
    <row r="2" spans="1:15" ht="15.75" x14ac:dyDescent="0.25">
      <c r="A2" s="287" t="s">
        <v>2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</row>
    <row r="3" spans="1:15" ht="15.75" x14ac:dyDescent="0.2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</row>
    <row r="4" spans="1:15" x14ac:dyDescent="0.25">
      <c r="B4" s="240" t="s">
        <v>3</v>
      </c>
      <c r="C4" s="288"/>
      <c r="D4" s="288"/>
      <c r="E4" s="289"/>
      <c r="F4" s="289"/>
      <c r="G4" s="289"/>
      <c r="H4" s="289"/>
    </row>
    <row r="5" spans="1:15" x14ac:dyDescent="0.25">
      <c r="B5" s="240" t="s">
        <v>4</v>
      </c>
      <c r="C5" s="282"/>
      <c r="D5" s="282"/>
      <c r="E5" s="290"/>
      <c r="F5" s="290"/>
      <c r="G5" s="290"/>
      <c r="H5" s="241"/>
      <c r="K5" s="240" t="s">
        <v>5</v>
      </c>
      <c r="L5" s="291"/>
      <c r="M5" s="291"/>
      <c r="N5" s="291"/>
      <c r="O5" s="291"/>
    </row>
    <row r="6" spans="1:15" x14ac:dyDescent="0.25">
      <c r="B6" s="240" t="s">
        <v>6</v>
      </c>
      <c r="C6" s="282"/>
      <c r="D6" s="282"/>
      <c r="E6" s="290"/>
      <c r="F6" s="290"/>
      <c r="G6" s="290"/>
      <c r="H6" s="241"/>
    </row>
    <row r="7" spans="1:15" x14ac:dyDescent="0.25">
      <c r="B7" s="240" t="s">
        <v>7</v>
      </c>
      <c r="C7" s="282"/>
      <c r="D7" s="282"/>
      <c r="E7" s="290"/>
      <c r="F7" s="290"/>
      <c r="G7" s="290"/>
      <c r="H7" s="241"/>
    </row>
    <row r="8" spans="1:15" x14ac:dyDescent="0.25">
      <c r="A8" s="242"/>
      <c r="B8" s="240" t="s">
        <v>8</v>
      </c>
      <c r="C8" s="282"/>
      <c r="D8" s="282"/>
      <c r="E8" s="290"/>
      <c r="F8" s="290"/>
      <c r="G8" s="243"/>
      <c r="H8" s="242"/>
      <c r="I8" s="242"/>
      <c r="J8" s="243"/>
      <c r="K8" s="244" t="s">
        <v>9</v>
      </c>
      <c r="L8" s="241"/>
      <c r="M8" s="245" t="s">
        <v>10</v>
      </c>
      <c r="N8" s="243"/>
      <c r="O8" s="244" t="s">
        <v>11</v>
      </c>
    </row>
    <row r="9" spans="1:15" x14ac:dyDescent="0.25">
      <c r="A9" s="242"/>
      <c r="B9" s="240" t="s">
        <v>12</v>
      </c>
      <c r="C9" s="3"/>
      <c r="D9" s="244"/>
      <c r="E9" s="243"/>
      <c r="F9" s="243"/>
      <c r="G9" s="243"/>
      <c r="H9" s="242"/>
      <c r="I9" s="242"/>
      <c r="J9" s="246" t="s">
        <v>13</v>
      </c>
      <c r="K9" s="2"/>
      <c r="L9" s="241"/>
      <c r="M9" s="1"/>
      <c r="N9" s="243"/>
      <c r="O9" s="2"/>
    </row>
    <row r="10" spans="1:15" x14ac:dyDescent="0.25">
      <c r="A10" s="242"/>
      <c r="B10" s="240" t="s">
        <v>14</v>
      </c>
      <c r="C10" s="4"/>
      <c r="D10" s="247"/>
      <c r="E10" s="243"/>
      <c r="F10" s="243"/>
      <c r="G10" s="243"/>
      <c r="H10" s="242"/>
      <c r="I10" s="242"/>
      <c r="J10" s="246" t="s">
        <v>15</v>
      </c>
      <c r="K10" s="2"/>
      <c r="L10" s="241"/>
      <c r="M10" s="1"/>
      <c r="N10" s="243"/>
      <c r="O10" s="2"/>
    </row>
    <row r="11" spans="1:15" x14ac:dyDescent="0.25">
      <c r="A11" s="242"/>
      <c r="B11" s="240" t="s">
        <v>16</v>
      </c>
      <c r="C11" s="3"/>
      <c r="D11" s="243"/>
      <c r="E11" s="243"/>
      <c r="F11" s="243"/>
      <c r="G11" s="243"/>
      <c r="H11" s="242"/>
      <c r="I11" s="242"/>
      <c r="J11" s="246" t="s">
        <v>17</v>
      </c>
      <c r="K11" s="2"/>
      <c r="L11" s="241"/>
      <c r="M11" s="1"/>
      <c r="N11" s="243"/>
      <c r="O11" s="2"/>
    </row>
    <row r="12" spans="1:15" x14ac:dyDescent="0.25">
      <c r="A12" s="242"/>
      <c r="B12" s="240" t="s">
        <v>18</v>
      </c>
      <c r="C12" s="3"/>
      <c r="D12" s="243"/>
      <c r="E12" s="243"/>
      <c r="F12" s="243"/>
      <c r="G12" s="243"/>
      <c r="H12" s="242"/>
      <c r="I12" s="242"/>
      <c r="J12" s="246" t="s">
        <v>19</v>
      </c>
      <c r="K12" s="2"/>
      <c r="L12" s="241"/>
      <c r="M12" s="1"/>
      <c r="N12" s="243"/>
      <c r="O12" s="2"/>
    </row>
    <row r="13" spans="1:15" x14ac:dyDescent="0.25">
      <c r="A13" s="242"/>
      <c r="B13" s="240" t="s">
        <v>20</v>
      </c>
      <c r="C13" s="3"/>
      <c r="D13" s="244"/>
      <c r="E13" s="243"/>
      <c r="F13" s="243"/>
      <c r="G13" s="243"/>
      <c r="H13" s="242"/>
      <c r="I13" s="242"/>
      <c r="J13" s="246" t="s">
        <v>21</v>
      </c>
      <c r="K13" s="2"/>
      <c r="L13" s="241"/>
      <c r="M13" s="1"/>
      <c r="N13" s="243"/>
      <c r="O13" s="2"/>
    </row>
    <row r="14" spans="1:15" x14ac:dyDescent="0.25">
      <c r="A14" s="242"/>
      <c r="B14" s="240" t="s">
        <v>22</v>
      </c>
      <c r="C14" s="3"/>
      <c r="D14" s="244"/>
      <c r="E14" s="243"/>
      <c r="F14" s="243"/>
      <c r="G14" s="243"/>
      <c r="H14" s="242"/>
      <c r="I14" s="242"/>
      <c r="J14" s="246" t="s">
        <v>23</v>
      </c>
      <c r="K14" s="2"/>
      <c r="L14" s="241"/>
      <c r="M14" s="1"/>
      <c r="N14" s="243"/>
      <c r="O14" s="2"/>
    </row>
    <row r="15" spans="1:15" x14ac:dyDescent="0.25">
      <c r="A15" s="242"/>
      <c r="B15" s="239"/>
      <c r="C15" s="243"/>
      <c r="D15" s="243"/>
      <c r="E15" s="243"/>
      <c r="F15" s="243"/>
      <c r="G15" s="243"/>
      <c r="H15" s="242"/>
      <c r="I15" s="242"/>
      <c r="J15" s="243"/>
      <c r="K15" s="243"/>
      <c r="L15" s="241"/>
      <c r="M15" s="240"/>
      <c r="N15" s="243"/>
      <c r="O15" s="243"/>
    </row>
    <row r="16" spans="1:15" x14ac:dyDescent="0.25">
      <c r="A16" s="242"/>
      <c r="B16" s="240" t="s">
        <v>24</v>
      </c>
      <c r="C16" s="294"/>
      <c r="D16" s="294"/>
      <c r="E16" s="294"/>
      <c r="F16" s="294"/>
      <c r="G16" s="294"/>
      <c r="I16" s="240" t="s">
        <v>25</v>
      </c>
      <c r="J16" s="295"/>
      <c r="K16" s="295"/>
      <c r="L16" s="241"/>
      <c r="M16" s="240" t="s">
        <v>26</v>
      </c>
      <c r="N16" s="280"/>
      <c r="O16" s="281"/>
    </row>
    <row r="17" spans="1:15" x14ac:dyDescent="0.25">
      <c r="A17" s="242"/>
      <c r="B17" s="240" t="s">
        <v>27</v>
      </c>
      <c r="C17" s="282"/>
      <c r="D17" s="282"/>
      <c r="E17" s="282"/>
      <c r="F17" s="282"/>
      <c r="G17" s="282"/>
      <c r="I17" s="240" t="s">
        <v>25</v>
      </c>
      <c r="J17" s="283"/>
      <c r="K17" s="283"/>
      <c r="L17" s="241"/>
      <c r="M17" s="240" t="s">
        <v>26</v>
      </c>
      <c r="N17" s="284"/>
      <c r="O17" s="284"/>
    </row>
    <row r="18" spans="1:15" ht="15.75" thickBot="1" x14ac:dyDescent="0.3"/>
    <row r="19" spans="1:15" ht="15.75" thickTop="1" x14ac:dyDescent="0.25">
      <c r="A19" s="248"/>
      <c r="B19" s="249"/>
      <c r="C19" s="249"/>
      <c r="D19" s="296" t="s">
        <v>28</v>
      </c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8"/>
    </row>
    <row r="20" spans="1:15" ht="15.75" thickBot="1" x14ac:dyDescent="0.3">
      <c r="A20" s="250"/>
      <c r="B20" s="251"/>
      <c r="C20" s="251"/>
      <c r="D20" s="252" t="s">
        <v>29</v>
      </c>
      <c r="E20" s="252" t="s">
        <v>30</v>
      </c>
      <c r="F20" s="252" t="s">
        <v>31</v>
      </c>
      <c r="G20" s="252" t="s">
        <v>32</v>
      </c>
      <c r="H20" s="252" t="s">
        <v>33</v>
      </c>
      <c r="I20" s="252" t="s">
        <v>34</v>
      </c>
      <c r="J20" s="252" t="s">
        <v>35</v>
      </c>
      <c r="K20" s="252" t="s">
        <v>36</v>
      </c>
      <c r="L20" s="252" t="s">
        <v>37</v>
      </c>
      <c r="M20" s="252" t="s">
        <v>38</v>
      </c>
      <c r="N20" s="252" t="s">
        <v>39</v>
      </c>
      <c r="O20" s="253" t="s">
        <v>40</v>
      </c>
    </row>
    <row r="21" spans="1:15" ht="15.75" thickTop="1" x14ac:dyDescent="0.25">
      <c r="A21" s="250"/>
      <c r="B21" s="251"/>
      <c r="C21" s="299" t="s">
        <v>41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</row>
    <row r="22" spans="1:15" ht="15.75" thickBot="1" x14ac:dyDescent="0.3">
      <c r="A22" s="250"/>
      <c r="B22" s="254" t="s">
        <v>160</v>
      </c>
      <c r="C22" s="300"/>
      <c r="D22" s="7"/>
      <c r="E22" s="7"/>
      <c r="F22" s="7"/>
      <c r="G22" s="8"/>
      <c r="H22" s="8"/>
      <c r="I22" s="8"/>
      <c r="J22" s="8"/>
      <c r="K22" s="8"/>
      <c r="L22" s="8"/>
      <c r="M22" s="8"/>
      <c r="N22" s="8"/>
      <c r="O22" s="9"/>
    </row>
    <row r="23" spans="1:15" ht="16.5" thickTop="1" thickBot="1" x14ac:dyDescent="0.3">
      <c r="A23" s="255" t="s">
        <v>161</v>
      </c>
      <c r="B23" s="10" t="s">
        <v>43</v>
      </c>
      <c r="C23" s="277" t="s">
        <v>47</v>
      </c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/>
    </row>
    <row r="24" spans="1:15" ht="16.5" thickTop="1" thickBot="1" x14ac:dyDescent="0.3">
      <c r="A24" s="254"/>
      <c r="B24" s="301" t="s">
        <v>45</v>
      </c>
      <c r="C24" s="302"/>
      <c r="D24" s="256" t="str">
        <f t="shared" ref="D24:O24" si="0">IF(D21="","",IF(AND(D23&lt;=D21,D23&gt;=D22),"C","N"))</f>
        <v/>
      </c>
      <c r="E24" s="256" t="str">
        <f t="shared" si="0"/>
        <v/>
      </c>
      <c r="F24" s="256" t="str">
        <f t="shared" si="0"/>
        <v/>
      </c>
      <c r="G24" s="256" t="str">
        <f t="shared" si="0"/>
        <v/>
      </c>
      <c r="H24" s="256" t="str">
        <f t="shared" si="0"/>
        <v/>
      </c>
      <c r="I24" s="256" t="str">
        <f t="shared" si="0"/>
        <v/>
      </c>
      <c r="J24" s="256" t="str">
        <f t="shared" si="0"/>
        <v/>
      </c>
      <c r="K24" s="256" t="str">
        <f t="shared" si="0"/>
        <v/>
      </c>
      <c r="L24" s="256" t="str">
        <f t="shared" si="0"/>
        <v/>
      </c>
      <c r="M24" s="256" t="str">
        <f t="shared" si="0"/>
        <v/>
      </c>
      <c r="N24" s="256" t="str">
        <f t="shared" si="0"/>
        <v/>
      </c>
      <c r="O24" s="257" t="str">
        <f t="shared" si="0"/>
        <v/>
      </c>
    </row>
    <row r="25" spans="1:15" ht="16.5" thickTop="1" thickBot="1" x14ac:dyDescent="0.3">
      <c r="A25" s="258" t="s">
        <v>162</v>
      </c>
      <c r="B25" s="14" t="s">
        <v>46</v>
      </c>
      <c r="C25" s="278" t="s">
        <v>44</v>
      </c>
      <c r="D25" s="15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7"/>
    </row>
    <row r="26" spans="1:15" ht="16.5" thickTop="1" thickBot="1" x14ac:dyDescent="0.3">
      <c r="A26" s="254"/>
      <c r="B26" s="303" t="s">
        <v>45</v>
      </c>
      <c r="C26" s="304"/>
      <c r="D26" s="259" t="str">
        <f t="shared" ref="D26:O26" si="1">IF(D21="","",IF(AND(D25&lt;=D21,D25&gt;=D22),"C","N"))</f>
        <v/>
      </c>
      <c r="E26" s="259" t="str">
        <f t="shared" si="1"/>
        <v/>
      </c>
      <c r="F26" s="259" t="str">
        <f t="shared" si="1"/>
        <v/>
      </c>
      <c r="G26" s="259" t="str">
        <f t="shared" si="1"/>
        <v/>
      </c>
      <c r="H26" s="259" t="str">
        <f t="shared" si="1"/>
        <v/>
      </c>
      <c r="I26" s="259" t="str">
        <f t="shared" si="1"/>
        <v/>
      </c>
      <c r="J26" s="259" t="str">
        <f t="shared" si="1"/>
        <v/>
      </c>
      <c r="K26" s="259" t="str">
        <f t="shared" si="1"/>
        <v/>
      </c>
      <c r="L26" s="259" t="str">
        <f t="shared" si="1"/>
        <v/>
      </c>
      <c r="M26" s="259" t="str">
        <f t="shared" si="1"/>
        <v/>
      </c>
      <c r="N26" s="259" t="str">
        <f t="shared" si="1"/>
        <v/>
      </c>
      <c r="O26" s="260" t="str">
        <f t="shared" si="1"/>
        <v/>
      </c>
    </row>
    <row r="27" spans="1:15" ht="16.5" thickTop="1" thickBot="1" x14ac:dyDescent="0.3">
      <c r="A27" s="251"/>
      <c r="B27" s="305" t="s">
        <v>48</v>
      </c>
      <c r="C27" s="306"/>
      <c r="D27" s="261">
        <f>IF(Correction!E4="",0,Correction!E4)</f>
        <v>0</v>
      </c>
      <c r="E27" s="261">
        <f>IF(Correction!F4="",0,Correction!F4)</f>
        <v>0</v>
      </c>
      <c r="F27" s="261">
        <f>IF(Correction!G4="",0,Correction!G4)</f>
        <v>0</v>
      </c>
      <c r="G27" s="261">
        <f>IF(Correction!H4="",0,Correction!H4)</f>
        <v>0</v>
      </c>
      <c r="H27" s="261">
        <f>IF(Correction!I4="",0,Correction!I4)</f>
        <v>0</v>
      </c>
      <c r="I27" s="261">
        <f>IF(Correction!J4="",0,Correction!J4)</f>
        <v>0</v>
      </c>
      <c r="J27" s="261">
        <f>IF(Correction!K4="",0,Correction!K4)</f>
        <v>0</v>
      </c>
      <c r="K27" s="261">
        <f>IF(Correction!L4="",0,Correction!L4)</f>
        <v>0</v>
      </c>
      <c r="L27" s="261">
        <f>IF(Correction!M4="",0,Correction!M4)</f>
        <v>0</v>
      </c>
      <c r="M27" s="261">
        <f>IF(Correction!N4="",0,Correction!N4)</f>
        <v>0</v>
      </c>
      <c r="N27" s="261">
        <f>IF(Correction!O4="",0,Correction!O4)</f>
        <v>0</v>
      </c>
      <c r="O27" s="261">
        <f>IF(Correction!P4="",0,Correction!P4)</f>
        <v>0</v>
      </c>
    </row>
    <row r="28" spans="1:15" ht="16.5" thickTop="1" thickBot="1" x14ac:dyDescent="0.3">
      <c r="A28" s="251"/>
      <c r="B28" s="292" t="s">
        <v>49</v>
      </c>
      <c r="C28" s="293"/>
      <c r="D28" s="262" t="e">
        <f>F33</f>
        <v>#VALUE!</v>
      </c>
      <c r="E28" s="262" t="e">
        <f>F34</f>
        <v>#VALUE!</v>
      </c>
      <c r="F28" s="262" t="e">
        <f>F35</f>
        <v>#VALUE!</v>
      </c>
      <c r="G28" s="262" t="e">
        <f>F36</f>
        <v>#VALUE!</v>
      </c>
      <c r="H28" s="262" t="e">
        <f>F37</f>
        <v>#VALUE!</v>
      </c>
      <c r="I28" s="262" t="e">
        <f>F38</f>
        <v>#VALUE!</v>
      </c>
      <c r="J28" s="262" t="e">
        <f>F39</f>
        <v>#VALUE!</v>
      </c>
      <c r="K28" s="262" t="e">
        <f>F40</f>
        <v>#VALUE!</v>
      </c>
      <c r="L28" s="262" t="e">
        <f>F41</f>
        <v>#VALUE!</v>
      </c>
      <c r="M28" s="262" t="e">
        <f>F42</f>
        <v>#VALUE!</v>
      </c>
      <c r="N28" s="262" t="e">
        <f>F43</f>
        <v>#VALUE!</v>
      </c>
      <c r="O28" s="263" t="e">
        <f>F44</f>
        <v>#VALUE!</v>
      </c>
    </row>
    <row r="29" spans="1:15" ht="15.75" thickTop="1" x14ac:dyDescent="0.25">
      <c r="A29" s="279" t="str">
        <f>IF(C23="Cold-Feed",IF(C25="Cold-Feed","Note: a correction factor is not required when one compares a cold-feed to a cold-feed. Please do not use any additional tabs."," "),"")</f>
        <v xml:space="preserve"> 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</row>
    <row r="30" spans="1:15" x14ac:dyDescent="0.25">
      <c r="A30" s="251"/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</row>
    <row r="31" spans="1:15" x14ac:dyDescent="0.25">
      <c r="A31" s="264"/>
      <c r="B31" s="252" t="str">
        <f>C23</f>
        <v>Cold-Feed</v>
      </c>
      <c r="C31" s="252" t="str">
        <f>C25</f>
        <v>Ign. Oven</v>
      </c>
      <c r="D31" s="264"/>
      <c r="E31" s="252" t="s">
        <v>50</v>
      </c>
      <c r="F31" s="252" t="s">
        <v>51</v>
      </c>
      <c r="H31" s="312" t="s">
        <v>52</v>
      </c>
      <c r="I31" s="313"/>
      <c r="J31" s="314"/>
      <c r="K31" s="265" t="str">
        <f>IF(O23="","",ROUND(I23*0.0041+J23*0.0082+K23*0.0164+L23*0.0287+M23*0.0614+N23*0.1229+O23*0.3277+0.41+K33,2))</f>
        <v/>
      </c>
      <c r="L31" s="312" t="s">
        <v>53</v>
      </c>
      <c r="M31" s="314"/>
      <c r="N31" s="266" t="str">
        <f>IF(K31="","",IF(C$12="","",ROUND(C$12*10/K31,1)))</f>
        <v/>
      </c>
      <c r="O31" s="251"/>
    </row>
    <row r="32" spans="1:15" x14ac:dyDescent="0.25">
      <c r="A32" s="267" t="s">
        <v>54</v>
      </c>
      <c r="B32" s="267" t="s">
        <v>55</v>
      </c>
      <c r="C32" s="267" t="s">
        <v>55</v>
      </c>
      <c r="D32" s="267" t="s">
        <v>56</v>
      </c>
      <c r="E32" s="267" t="s">
        <v>57</v>
      </c>
      <c r="F32" s="267" t="s">
        <v>58</v>
      </c>
      <c r="H32" s="312" t="s">
        <v>59</v>
      </c>
      <c r="I32" s="315"/>
      <c r="J32" s="316"/>
      <c r="K32" s="265" t="str">
        <f>IF(O25="","",ROUND(I25*0.0041+J25*0.0082+K25*0.0164+L25*0.0287+M25*0.0614+N25*0.1229+O25*0.3277+0.41,2))</f>
        <v/>
      </c>
      <c r="L32" s="312" t="s">
        <v>53</v>
      </c>
      <c r="M32" s="314"/>
      <c r="N32" s="266" t="str">
        <f>IF(K32="","",IF(C$12="","",ROUND(C$12*10/K32,1)))</f>
        <v/>
      </c>
      <c r="O32" s="268"/>
    </row>
    <row r="33" spans="1:15" x14ac:dyDescent="0.25">
      <c r="A33" s="267" t="s">
        <v>60</v>
      </c>
      <c r="B33" s="269" t="str">
        <f>IF(D$23="","NA",((D$23+D27)-(E$23+E27)))</f>
        <v>NA</v>
      </c>
      <c r="C33" s="269" t="str">
        <f>IF(D$25="","NA",(D$25-E$25))</f>
        <v>NA</v>
      </c>
      <c r="D33" s="269" t="e">
        <f t="shared" ref="D33:D44" si="2">IF(C33="",0,ABS(B33-C33))</f>
        <v>#VALUE!</v>
      </c>
      <c r="E33" s="266">
        <f>IF(B33&lt;3.1,5,IF(B33&lt;10.1,5,IF(B33&lt;20.1,5,IF(B33&lt;30.1,6,IF(B33&lt;40.1,7,IF(B33&lt;50.1,9,0))))))</f>
        <v>0</v>
      </c>
      <c r="F33" s="270" t="e">
        <f t="shared" ref="F33:F44" si="3">IF(D33&lt;E33,"Y",IF(D33=E33,"Y",IF(D33&gt;E33,"N",0)))</f>
        <v>#VALUE!</v>
      </c>
      <c r="H33" s="312" t="s">
        <v>61</v>
      </c>
      <c r="I33" s="315"/>
      <c r="J33" s="316"/>
      <c r="K33" s="271" t="str">
        <f>IF(Correction!Q4="","",Correction!Q4)</f>
        <v/>
      </c>
      <c r="L33" s="272"/>
      <c r="O33" s="268"/>
    </row>
    <row r="34" spans="1:15" x14ac:dyDescent="0.25">
      <c r="A34" s="266" t="s">
        <v>62</v>
      </c>
      <c r="B34" s="269" t="str">
        <f>IF(E$23="","NA",((E$23+E27)-(F$23+F27)))</f>
        <v>NA</v>
      </c>
      <c r="C34" s="269" t="str">
        <f>IF(E$25="","NA",(E$25-F$25))</f>
        <v>NA</v>
      </c>
      <c r="D34" s="269" t="e">
        <f t="shared" si="2"/>
        <v>#VALUE!</v>
      </c>
      <c r="E34" s="266">
        <f>IF(B34&lt;3.1,5,IF(B34&lt;10.1,5,IF(B34&lt;20.1,5,IF(B34&lt;30.1,6,IF(B34&lt;40.1,7,IF(B34&lt;50.1,9,0))))))</f>
        <v>0</v>
      </c>
      <c r="F34" s="270" t="e">
        <f>IF(D34&lt;E34,"Y",IF(D34=E34,"Y",IF(D34&gt;E34,"N",0)))</f>
        <v>#VALUE!</v>
      </c>
      <c r="H34" s="251"/>
      <c r="I34" s="251"/>
      <c r="O34" s="251"/>
    </row>
    <row r="35" spans="1:15" x14ac:dyDescent="0.25">
      <c r="A35" s="266" t="s">
        <v>63</v>
      </c>
      <c r="B35" s="269" t="str">
        <f>IF(F$23="","NA",((F$23+F27)-(G$23+G27)))</f>
        <v>NA</v>
      </c>
      <c r="C35" s="269" t="str">
        <f>IF(F$25="","NA",(F$25-G$25))</f>
        <v>NA</v>
      </c>
      <c r="D35" s="269" t="e">
        <f t="shared" si="2"/>
        <v>#VALUE!</v>
      </c>
      <c r="E35" s="266">
        <f>IF(B35&lt;3.1,5,IF(B35&lt;10.1,5,IF(B35&lt;20.1,5,IF(B35&lt;30.1,6,IF(B35&lt;40.1,7,IF(B35&lt;50.1,9,0))))))</f>
        <v>0</v>
      </c>
      <c r="F35" s="270" t="e">
        <f t="shared" si="3"/>
        <v>#VALUE!</v>
      </c>
      <c r="H35" s="251"/>
      <c r="I35" s="251"/>
      <c r="J35" s="251"/>
      <c r="K35" s="251"/>
      <c r="L35" s="251"/>
      <c r="M35" s="251"/>
      <c r="N35" s="251"/>
      <c r="O35" s="251"/>
    </row>
    <row r="36" spans="1:15" x14ac:dyDescent="0.25">
      <c r="A36" s="266" t="s">
        <v>64</v>
      </c>
      <c r="B36" s="269" t="str">
        <f>IF(G$23="","NA",((G$23+G27)-(H$23+H27)))</f>
        <v>NA</v>
      </c>
      <c r="C36" s="269" t="str">
        <f>IF(G$25="","NA",(G$25-H$25))</f>
        <v>NA</v>
      </c>
      <c r="D36" s="269" t="e">
        <f t="shared" si="2"/>
        <v>#VALUE!</v>
      </c>
      <c r="E36" s="266">
        <f>IF(B36&lt;3.1,5,IF(B36&lt;10.1,5,IF(B36&lt;20.1,5,IF(B36&lt;30.1,6,IF(B36&lt;40.1,7,IF(B36&lt;50.1,9,0))))))</f>
        <v>0</v>
      </c>
      <c r="F36" s="270" t="e">
        <f t="shared" si="3"/>
        <v>#VALUE!</v>
      </c>
      <c r="H36" s="251"/>
      <c r="I36" s="251"/>
      <c r="J36" s="251" t="s">
        <v>65</v>
      </c>
      <c r="K36" s="251"/>
      <c r="L36" s="251"/>
      <c r="M36" s="251"/>
      <c r="N36" s="251"/>
      <c r="O36" s="251"/>
    </row>
    <row r="37" spans="1:15" x14ac:dyDescent="0.25">
      <c r="A37" s="266" t="s">
        <v>66</v>
      </c>
      <c r="B37" s="269" t="str">
        <f>IF(H$23="","NA",((H$23+H27)-(I$23+I27)))</f>
        <v>NA</v>
      </c>
      <c r="C37" s="269" t="str">
        <f>IF(H$25="","NA",(H$25-I$25))</f>
        <v>NA</v>
      </c>
      <c r="D37" s="269" t="e">
        <f t="shared" si="2"/>
        <v>#VALUE!</v>
      </c>
      <c r="E37" s="266">
        <f>IF(B37&lt;3.1,5,IF(B37&lt;10.1,5,IF(B37&lt;20.1,5,IF(B37&lt;30.1,6,IF(B37&lt;40.1,7,IF(B37&lt;50.1,9,0))))))</f>
        <v>0</v>
      </c>
      <c r="F37" s="270" t="e">
        <f t="shared" si="3"/>
        <v>#VALUE!</v>
      </c>
      <c r="H37" s="251"/>
      <c r="I37" s="251"/>
      <c r="J37" s="273" t="s">
        <v>67</v>
      </c>
      <c r="K37" s="251"/>
      <c r="L37" s="251"/>
      <c r="M37" s="274" t="s">
        <v>68</v>
      </c>
      <c r="N37" s="268"/>
      <c r="O37" s="251"/>
    </row>
    <row r="38" spans="1:15" x14ac:dyDescent="0.25">
      <c r="A38" s="266" t="s">
        <v>69</v>
      </c>
      <c r="B38" s="269" t="str">
        <f>IF(I$23="","NA",((I$23+I27)-(J$23+J27)))</f>
        <v>NA</v>
      </c>
      <c r="C38" s="269" t="str">
        <f>IF(I$25="","NA",(I$25-J$25))</f>
        <v>NA</v>
      </c>
      <c r="D38" s="269" t="e">
        <f t="shared" si="2"/>
        <v>#VALUE!</v>
      </c>
      <c r="E38" s="266">
        <f t="shared" ref="E38:E44" si="4">IF(B38&lt;3.1,2,IF(B38&lt;10.1,3,IF(B38&lt;20.1,5,IF(B38&lt;30.1,6,IF(B38&lt;40.1,7,IF(B38&lt;50.1,9,0))))))</f>
        <v>0</v>
      </c>
      <c r="F38" s="270" t="e">
        <f t="shared" si="3"/>
        <v>#VALUE!</v>
      </c>
      <c r="H38" s="251"/>
      <c r="I38" s="251"/>
      <c r="J38" s="275">
        <v>0</v>
      </c>
      <c r="K38" s="254" t="s">
        <v>70</v>
      </c>
      <c r="L38" s="276">
        <v>3</v>
      </c>
      <c r="M38" s="251"/>
      <c r="N38" s="254">
        <v>2</v>
      </c>
      <c r="O38" s="251"/>
    </row>
    <row r="39" spans="1:15" x14ac:dyDescent="0.25">
      <c r="A39" s="266" t="s">
        <v>71</v>
      </c>
      <c r="B39" s="269" t="str">
        <f>IF(J$23="","NA",((J$23+J27)-(K$23+K27)))</f>
        <v>NA</v>
      </c>
      <c r="C39" s="269" t="str">
        <f>IF(J$25="","NA",(J$25-K$25))</f>
        <v>NA</v>
      </c>
      <c r="D39" s="269" t="e">
        <f t="shared" si="2"/>
        <v>#VALUE!</v>
      </c>
      <c r="E39" s="266">
        <f t="shared" si="4"/>
        <v>0</v>
      </c>
      <c r="F39" s="270" t="e">
        <f t="shared" si="3"/>
        <v>#VALUE!</v>
      </c>
      <c r="H39" s="251"/>
      <c r="I39" s="251"/>
      <c r="J39" s="275">
        <v>3.1</v>
      </c>
      <c r="K39" s="254" t="s">
        <v>70</v>
      </c>
      <c r="L39" s="276">
        <v>10</v>
      </c>
      <c r="M39" s="251"/>
      <c r="N39" s="254">
        <v>3</v>
      </c>
      <c r="O39" s="251"/>
    </row>
    <row r="40" spans="1:15" x14ac:dyDescent="0.25">
      <c r="A40" s="266" t="s">
        <v>72</v>
      </c>
      <c r="B40" s="269" t="str">
        <f>IF(K$23="","NA",((K$23+K27)-(L$23+L27)))</f>
        <v>NA</v>
      </c>
      <c r="C40" s="269" t="str">
        <f>IF(K$25="","NA",(K$25-L$25))</f>
        <v>NA</v>
      </c>
      <c r="D40" s="269" t="e">
        <f t="shared" si="2"/>
        <v>#VALUE!</v>
      </c>
      <c r="E40" s="266">
        <f t="shared" si="4"/>
        <v>0</v>
      </c>
      <c r="F40" s="270" t="e">
        <f t="shared" si="3"/>
        <v>#VALUE!</v>
      </c>
      <c r="H40" s="251"/>
      <c r="I40" s="251"/>
      <c r="J40" s="275">
        <v>10.1</v>
      </c>
      <c r="K40" s="254" t="s">
        <v>70</v>
      </c>
      <c r="L40" s="276">
        <v>20</v>
      </c>
      <c r="M40" s="251"/>
      <c r="N40" s="254">
        <v>5</v>
      </c>
      <c r="O40" s="251"/>
    </row>
    <row r="41" spans="1:15" x14ac:dyDescent="0.25">
      <c r="A41" s="266" t="s">
        <v>73</v>
      </c>
      <c r="B41" s="269" t="str">
        <f>IF(L$23="","NA",((L$23+L27)-(M$23+M27)))</f>
        <v>NA</v>
      </c>
      <c r="C41" s="269" t="str">
        <f>IF(L$25="","NA",(L$25-M$25))</f>
        <v>NA</v>
      </c>
      <c r="D41" s="269" t="e">
        <f t="shared" si="2"/>
        <v>#VALUE!</v>
      </c>
      <c r="E41" s="266">
        <f t="shared" si="4"/>
        <v>0</v>
      </c>
      <c r="F41" s="270" t="e">
        <f t="shared" si="3"/>
        <v>#VALUE!</v>
      </c>
      <c r="H41" s="251"/>
      <c r="I41" s="251"/>
      <c r="J41" s="275">
        <v>20.100000000000001</v>
      </c>
      <c r="K41" s="254" t="s">
        <v>70</v>
      </c>
      <c r="L41" s="276">
        <v>30</v>
      </c>
      <c r="M41" s="251"/>
      <c r="N41" s="254">
        <v>6</v>
      </c>
      <c r="O41" s="251"/>
    </row>
    <row r="42" spans="1:15" x14ac:dyDescent="0.25">
      <c r="A42" s="266" t="s">
        <v>74</v>
      </c>
      <c r="B42" s="269" t="str">
        <f>IF(M$23="","NA",((M$23+M27)-(N$23+N27)))</f>
        <v>NA</v>
      </c>
      <c r="C42" s="269" t="str">
        <f>IF(M$25="","NA",(M$25-N$25))</f>
        <v>NA</v>
      </c>
      <c r="D42" s="269" t="e">
        <f t="shared" si="2"/>
        <v>#VALUE!</v>
      </c>
      <c r="E42" s="266">
        <f t="shared" si="4"/>
        <v>0</v>
      </c>
      <c r="F42" s="270" t="e">
        <f t="shared" si="3"/>
        <v>#VALUE!</v>
      </c>
      <c r="H42" s="251"/>
      <c r="I42" s="251"/>
      <c r="J42" s="275">
        <v>30.1</v>
      </c>
      <c r="K42" s="254" t="s">
        <v>70</v>
      </c>
      <c r="L42" s="276">
        <v>40</v>
      </c>
      <c r="M42" s="251"/>
      <c r="N42" s="254">
        <v>7</v>
      </c>
      <c r="O42" s="251"/>
    </row>
    <row r="43" spans="1:15" x14ac:dyDescent="0.25">
      <c r="A43" s="266" t="s">
        <v>75</v>
      </c>
      <c r="B43" s="269" t="str">
        <f>IF(N$23="","NA",((N$23+N27)-(O$23+O27)))</f>
        <v>NA</v>
      </c>
      <c r="C43" s="269" t="str">
        <f>IF(N$25="","NA",(N$25-O$25))</f>
        <v>NA</v>
      </c>
      <c r="D43" s="269" t="e">
        <f t="shared" si="2"/>
        <v>#VALUE!</v>
      </c>
      <c r="E43" s="266">
        <f t="shared" si="4"/>
        <v>0</v>
      </c>
      <c r="F43" s="270" t="e">
        <f t="shared" si="3"/>
        <v>#VALUE!</v>
      </c>
      <c r="H43" s="251"/>
      <c r="I43" s="251"/>
      <c r="J43" s="275">
        <v>40.1</v>
      </c>
      <c r="K43" s="254" t="s">
        <v>70</v>
      </c>
      <c r="L43" s="276">
        <v>50</v>
      </c>
      <c r="M43" s="251"/>
      <c r="N43" s="254">
        <v>9</v>
      </c>
      <c r="O43" s="251"/>
    </row>
    <row r="44" spans="1:15" x14ac:dyDescent="0.25">
      <c r="A44" s="266" t="s">
        <v>76</v>
      </c>
      <c r="B44" s="269" t="str">
        <f>IF(O$23="","NA",(O23+O27))</f>
        <v>NA</v>
      </c>
      <c r="C44" s="269" t="str">
        <f>IF(O25="","NA",(O25))</f>
        <v>NA</v>
      </c>
      <c r="D44" s="269" t="e">
        <f t="shared" si="2"/>
        <v>#VALUE!</v>
      </c>
      <c r="E44" s="266">
        <f t="shared" si="4"/>
        <v>0</v>
      </c>
      <c r="F44" s="270" t="e">
        <f t="shared" si="3"/>
        <v>#VALUE!</v>
      </c>
      <c r="H44" s="251"/>
      <c r="I44" s="251"/>
      <c r="J44" s="317" t="s">
        <v>77</v>
      </c>
      <c r="K44" s="318"/>
      <c r="L44" s="318"/>
      <c r="M44" s="318"/>
      <c r="N44" s="254">
        <v>5</v>
      </c>
      <c r="O44" s="251"/>
    </row>
    <row r="45" spans="1:15" x14ac:dyDescent="0.25">
      <c r="A45" s="251"/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M45" s="254"/>
      <c r="N45" s="254"/>
      <c r="O45" s="254"/>
    </row>
    <row r="46" spans="1:15" x14ac:dyDescent="0.25">
      <c r="A46" s="240" t="s">
        <v>78</v>
      </c>
      <c r="B46" s="288"/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</row>
    <row r="47" spans="1:15" x14ac:dyDescent="0.25">
      <c r="A47" s="243"/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5" x14ac:dyDescent="0.25">
      <c r="A48" s="241"/>
      <c r="B48" s="308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/>
    </row>
    <row r="49" spans="1:15" x14ac:dyDescent="0.25">
      <c r="A49" s="310" t="s">
        <v>79</v>
      </c>
      <c r="B49" s="311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  <c r="O49" s="311"/>
    </row>
    <row r="50" spans="1:15" x14ac:dyDescent="0.25">
      <c r="A50" s="251"/>
    </row>
  </sheetData>
  <sheetProtection algorithmName="SHA-512" hashValue="y/OJkRUaVgNE+U+wG3iCP5NHqT+S5eWvxFsP4wPSl7Mdz8RB3smaoI2p6qy+kXMG/AJ69eDx8kRCEsxDALxQUQ==" saltValue="q8wqo2T2giWyKpOIQS0IWQ==" spinCount="100000" sheet="1" objects="1" scenarios="1" selectLockedCells="1"/>
  <mergeCells count="31">
    <mergeCell ref="B46:O46"/>
    <mergeCell ref="B47:O47"/>
    <mergeCell ref="B48:O48"/>
    <mergeCell ref="A49:O49"/>
    <mergeCell ref="H31:J31"/>
    <mergeCell ref="L31:M31"/>
    <mergeCell ref="H32:J32"/>
    <mergeCell ref="L32:M32"/>
    <mergeCell ref="H33:J33"/>
    <mergeCell ref="J44:M44"/>
    <mergeCell ref="C6:G6"/>
    <mergeCell ref="B28:C28"/>
    <mergeCell ref="C7:G7"/>
    <mergeCell ref="C8:F8"/>
    <mergeCell ref="C16:G16"/>
    <mergeCell ref="D19:O19"/>
    <mergeCell ref="C21:C22"/>
    <mergeCell ref="B24:C24"/>
    <mergeCell ref="B26:C26"/>
    <mergeCell ref="B27:C27"/>
    <mergeCell ref="B1:M1"/>
    <mergeCell ref="A2:O2"/>
    <mergeCell ref="C4:H4"/>
    <mergeCell ref="C5:G5"/>
    <mergeCell ref="L5:O5"/>
    <mergeCell ref="A29:O29"/>
    <mergeCell ref="N16:O16"/>
    <mergeCell ref="C17:G17"/>
    <mergeCell ref="J17:K17"/>
    <mergeCell ref="N17:O17"/>
    <mergeCell ref="J16:K16"/>
  </mergeCells>
  <dataValidations count="1">
    <dataValidation type="list" allowBlank="1" showInputMessage="1" showErrorMessage="1" sqref="C23 C25" xr:uid="{3DD62F32-6301-4D0F-ACB1-312F334FFCD4}">
      <formula1>"Ign. Oven, Cold-Feed"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EA551-006A-4FDA-954B-0575577585D4}">
  <dimension ref="A1:AG112"/>
  <sheetViews>
    <sheetView showRowColHeaders="0" topLeftCell="A92" workbookViewId="0">
      <selection activeCell="E4" sqref="E4"/>
    </sheetView>
  </sheetViews>
  <sheetFormatPr defaultRowHeight="15" x14ac:dyDescent="0.2"/>
  <cols>
    <col min="1" max="7" width="9.140625" style="27"/>
    <col min="8" max="8" width="12.85546875" style="27" customWidth="1"/>
    <col min="9" max="9" width="13.42578125" style="27" customWidth="1"/>
    <col min="10" max="10" width="12.7109375" style="27" customWidth="1"/>
    <col min="11" max="11" width="12.5703125" style="27" customWidth="1"/>
    <col min="12" max="12" width="9.140625" style="26"/>
    <col min="13" max="14" width="11.42578125" style="26" hidden="1" customWidth="1"/>
    <col min="15" max="30" width="11.42578125" style="97" hidden="1" customWidth="1"/>
    <col min="31" max="31" width="11.42578125" style="26" hidden="1" customWidth="1"/>
    <col min="32" max="32" width="9.140625" style="26"/>
    <col min="33" max="16384" width="9.140625" style="27"/>
  </cols>
  <sheetData>
    <row r="1" spans="1:33" ht="16.5" thickBot="1" x14ac:dyDescent="0.3">
      <c r="A1" s="321" t="s">
        <v>80</v>
      </c>
      <c r="B1" s="322"/>
      <c r="C1" s="322"/>
      <c r="D1" s="322"/>
      <c r="E1" s="323"/>
      <c r="F1" s="18" t="s">
        <v>81</v>
      </c>
      <c r="G1" s="19"/>
      <c r="H1" s="20" t="s">
        <v>82</v>
      </c>
      <c r="I1" s="21"/>
      <c r="J1" s="22"/>
      <c r="K1" s="18" t="s">
        <v>83</v>
      </c>
      <c r="L1" s="23" t="s">
        <v>84</v>
      </c>
      <c r="M1" s="24"/>
      <c r="N1" s="24"/>
      <c r="O1" s="24" t="s">
        <v>84</v>
      </c>
      <c r="P1" s="24"/>
      <c r="Q1" s="24"/>
      <c r="R1" s="25"/>
      <c r="S1" s="25"/>
      <c r="T1" s="25"/>
      <c r="U1" s="25"/>
      <c r="V1" s="25"/>
      <c r="W1" s="25"/>
      <c r="X1" s="25"/>
      <c r="Y1" s="25"/>
      <c r="Z1" s="25" t="s">
        <v>85</v>
      </c>
      <c r="AA1" s="25" t="s">
        <v>86</v>
      </c>
      <c r="AB1" s="25" t="s">
        <v>87</v>
      </c>
      <c r="AC1" s="25" t="s">
        <v>88</v>
      </c>
      <c r="AD1" s="25" t="s">
        <v>89</v>
      </c>
    </row>
    <row r="2" spans="1:33" x14ac:dyDescent="0.2">
      <c r="A2" s="28" t="s">
        <v>90</v>
      </c>
      <c r="B2" s="29"/>
      <c r="C2" s="30"/>
      <c r="D2" s="31"/>
      <c r="E2" s="32"/>
      <c r="F2" s="32"/>
      <c r="G2" s="33"/>
      <c r="H2" s="31"/>
      <c r="I2" s="31"/>
      <c r="J2" s="31"/>
      <c r="K2" s="34"/>
      <c r="L2" s="35"/>
      <c r="M2" s="24"/>
      <c r="N2" s="24"/>
      <c r="O2" s="24" t="s">
        <v>91</v>
      </c>
      <c r="P2" s="36"/>
      <c r="Q2" s="36"/>
      <c r="R2" s="37"/>
      <c r="S2" s="37"/>
      <c r="T2" s="37"/>
      <c r="U2" s="37"/>
      <c r="V2" s="25"/>
      <c r="W2" s="25"/>
      <c r="X2" s="25" t="s">
        <v>92</v>
      </c>
      <c r="Y2" s="38">
        <f>(100-L3-L5)/100</f>
        <v>1</v>
      </c>
      <c r="Z2" s="39">
        <f>AA2/AA$5</f>
        <v>1</v>
      </c>
      <c r="AA2" s="38">
        <f>IF(AND(L3="",L5=""),100,Y2)</f>
        <v>100</v>
      </c>
      <c r="AB2" s="25"/>
      <c r="AC2" s="25"/>
      <c r="AD2" s="25"/>
    </row>
    <row r="3" spans="1:33" ht="15.75" thickBot="1" x14ac:dyDescent="0.25">
      <c r="A3" s="40" t="s">
        <v>93</v>
      </c>
      <c r="B3" s="41"/>
      <c r="C3" s="42"/>
      <c r="D3" s="31"/>
      <c r="E3" s="43"/>
      <c r="F3" s="31" t="s">
        <v>94</v>
      </c>
      <c r="G3" s="33"/>
      <c r="H3" s="31"/>
      <c r="I3" s="324" t="str">
        <f>CONCATENATE("% RAP Used (From ",MONTH(I1),"/",DAY(I1),"/",YEAR(I1)," Plant Report)")</f>
        <v>% RAP Used (From 1/0/1900 Plant Report)</v>
      </c>
      <c r="J3" s="325"/>
      <c r="K3" s="326"/>
      <c r="L3" s="44"/>
      <c r="M3" s="24"/>
      <c r="N3" s="24"/>
      <c r="O3" s="24"/>
      <c r="P3" s="36"/>
      <c r="Q3" s="36"/>
      <c r="R3" s="37"/>
      <c r="S3" s="37"/>
      <c r="T3" s="37"/>
      <c r="U3" s="37"/>
      <c r="V3" s="25"/>
      <c r="W3" s="25"/>
      <c r="X3" s="25" t="s">
        <v>95</v>
      </c>
      <c r="Y3" s="39">
        <f>L5/100</f>
        <v>0</v>
      </c>
      <c r="Z3" s="39">
        <f>AA3/AA$5</f>
        <v>0</v>
      </c>
      <c r="AA3" s="39">
        <f>Y3*AB3</f>
        <v>0</v>
      </c>
      <c r="AB3" s="39">
        <f>1-AC3-AD3-AE3</f>
        <v>0.9</v>
      </c>
      <c r="AC3" s="39">
        <f>L6*0.67/100</f>
        <v>0</v>
      </c>
      <c r="AD3" s="39">
        <f>0.1</f>
        <v>0.1</v>
      </c>
      <c r="AE3" s="45">
        <f>L6/100-AC3</f>
        <v>0</v>
      </c>
    </row>
    <row r="4" spans="1:33" x14ac:dyDescent="0.2">
      <c r="A4" s="46" t="str">
        <f>IF(L1="Metric","Total Minus 4.75mm (W1): ","Total Minus #4 (W1): ")</f>
        <v xml:space="preserve">Total Minus #4 (W1): </v>
      </c>
      <c r="B4" s="47"/>
      <c r="C4" s="48"/>
      <c r="D4" s="31"/>
      <c r="E4" s="31"/>
      <c r="F4" s="31" t="str">
        <f>IF(L1="Metric","(Using Box &amp; 203mm Sieves).","(Using Box &amp; 8 in. Sieves).")</f>
        <v>(Using Box &amp; 8 in. Sieves).</v>
      </c>
      <c r="G4" s="33"/>
      <c r="H4" s="31"/>
      <c r="I4" s="327" t="s">
        <v>96</v>
      </c>
      <c r="J4" s="327"/>
      <c r="K4" s="328"/>
      <c r="L4" s="44"/>
      <c r="M4" s="24"/>
      <c r="N4" s="24"/>
      <c r="O4" s="24"/>
      <c r="P4" s="36"/>
      <c r="Q4" s="36"/>
      <c r="R4" s="37"/>
      <c r="S4" s="37"/>
      <c r="T4" s="37"/>
      <c r="U4" s="37"/>
      <c r="V4" s="25"/>
      <c r="W4" s="25"/>
      <c r="X4" s="25" t="s">
        <v>97</v>
      </c>
      <c r="Y4" s="39">
        <f>L3/100</f>
        <v>0</v>
      </c>
      <c r="Z4" s="39">
        <f>AA4/AA$5</f>
        <v>0</v>
      </c>
      <c r="AA4" s="39">
        <f>Y4*AB4</f>
        <v>0</v>
      </c>
      <c r="AB4" s="39">
        <f>1-AC4</f>
        <v>1</v>
      </c>
      <c r="AC4" s="39">
        <f>L4/100</f>
        <v>0</v>
      </c>
      <c r="AD4" s="25"/>
    </row>
    <row r="5" spans="1:33" x14ac:dyDescent="0.2">
      <c r="A5" s="46" t="str">
        <f>IF(L1="Metric","Reduced Minus 4.75mm (W2): ","Reduced Minus #4 (W2): ")</f>
        <v xml:space="preserve">Reduced Minus #4 (W2): </v>
      </c>
      <c r="B5" s="47"/>
      <c r="C5" s="48"/>
      <c r="D5" s="31"/>
      <c r="E5" s="32"/>
      <c r="F5" s="32"/>
      <c r="G5" s="33"/>
      <c r="H5" s="31"/>
      <c r="I5" s="329" t="str">
        <f>CONCATENATE("% RAS Used (From ",MONTH(I1),"/",DAY(I1),"/",YEAR(I1)," Plant Report)")</f>
        <v>% RAS Used (From 1/0/1900 Plant Report)</v>
      </c>
      <c r="J5" s="329"/>
      <c r="K5" s="329"/>
      <c r="L5" s="49"/>
      <c r="M5" s="24"/>
      <c r="N5" s="24"/>
      <c r="O5" s="24"/>
      <c r="P5" s="36"/>
      <c r="Q5" s="36"/>
      <c r="R5" s="37"/>
      <c r="S5" s="37"/>
      <c r="T5" s="37"/>
      <c r="U5" s="37"/>
      <c r="V5" s="25"/>
      <c r="W5" s="25"/>
      <c r="X5" s="25" t="s">
        <v>98</v>
      </c>
      <c r="Y5" s="50">
        <f>Y4+Y3+Y2</f>
        <v>1</v>
      </c>
      <c r="Z5" s="39">
        <f>AA5/AA$5</f>
        <v>1</v>
      </c>
      <c r="AA5" s="39">
        <f>AA4+AA3+AA2</f>
        <v>100</v>
      </c>
      <c r="AB5" s="25"/>
      <c r="AC5" s="25"/>
      <c r="AD5" s="25"/>
    </row>
    <row r="6" spans="1:33" ht="15.75" thickBot="1" x14ac:dyDescent="0.25">
      <c r="A6" s="40" t="s">
        <v>99</v>
      </c>
      <c r="B6" s="41"/>
      <c r="C6" s="51" t="str">
        <f>IF(C5="","",ROUND(SUM(C4/C5),4))</f>
        <v/>
      </c>
      <c r="D6" s="31"/>
      <c r="E6" s="31"/>
      <c r="F6" s="31"/>
      <c r="G6" s="31"/>
      <c r="H6" s="31"/>
      <c r="I6" s="327" t="s">
        <v>100</v>
      </c>
      <c r="J6" s="327"/>
      <c r="K6" s="328"/>
      <c r="L6" s="49"/>
      <c r="M6" s="36"/>
      <c r="N6" s="36"/>
      <c r="O6" s="36"/>
      <c r="P6" s="36"/>
      <c r="Q6" s="36"/>
      <c r="R6" s="37"/>
      <c r="S6" s="37"/>
      <c r="T6" s="37"/>
      <c r="U6" s="37"/>
      <c r="V6" s="25"/>
      <c r="W6" s="25"/>
      <c r="X6" s="25"/>
      <c r="Y6" s="25"/>
      <c r="Z6" s="25"/>
      <c r="AA6" s="25"/>
      <c r="AB6" s="25"/>
      <c r="AC6" s="25"/>
      <c r="AD6" s="25"/>
    </row>
    <row r="7" spans="1:33" x14ac:dyDescent="0.2">
      <c r="A7" s="52"/>
      <c r="B7" s="53" t="s">
        <v>101</v>
      </c>
      <c r="C7" s="53" t="s">
        <v>102</v>
      </c>
      <c r="D7" s="53" t="s">
        <v>57</v>
      </c>
      <c r="E7" s="53" t="s">
        <v>57</v>
      </c>
      <c r="F7" s="53" t="s">
        <v>103</v>
      </c>
      <c r="G7" s="53" t="s">
        <v>104</v>
      </c>
      <c r="H7" s="53" t="s">
        <v>103</v>
      </c>
      <c r="I7" s="54" t="s">
        <v>97</v>
      </c>
      <c r="J7" s="54" t="s">
        <v>95</v>
      </c>
      <c r="K7" s="55"/>
      <c r="L7" s="55"/>
      <c r="M7" s="55"/>
      <c r="N7" s="24"/>
      <c r="O7" s="56" t="s">
        <v>57</v>
      </c>
      <c r="P7" s="24"/>
      <c r="Q7" s="24"/>
      <c r="R7" s="24"/>
      <c r="S7" s="25"/>
      <c r="T7" s="25"/>
      <c r="U7" s="25"/>
      <c r="V7" s="25"/>
      <c r="W7" s="57" t="s">
        <v>105</v>
      </c>
      <c r="X7" s="57" t="s">
        <v>106</v>
      </c>
      <c r="Y7" s="57" t="s">
        <v>97</v>
      </c>
      <c r="Z7" s="57" t="s">
        <v>107</v>
      </c>
      <c r="AA7" s="57" t="s">
        <v>108</v>
      </c>
      <c r="AB7" s="57" t="s">
        <v>95</v>
      </c>
      <c r="AC7" s="57" t="s">
        <v>109</v>
      </c>
      <c r="AD7" s="57" t="s">
        <v>109</v>
      </c>
    </row>
    <row r="8" spans="1:33" x14ac:dyDescent="0.2">
      <c r="A8" s="58" t="s">
        <v>110</v>
      </c>
      <c r="B8" s="59" t="str">
        <f>IF(L1="Metric","Minus 4.75","Minus #4")</f>
        <v>Minus #4</v>
      </c>
      <c r="C8" s="59" t="s">
        <v>111</v>
      </c>
      <c r="D8" s="59" t="s">
        <v>112</v>
      </c>
      <c r="E8" s="59" t="s">
        <v>113</v>
      </c>
      <c r="F8" s="59" t="s">
        <v>114</v>
      </c>
      <c r="G8" s="59" t="s">
        <v>115</v>
      </c>
      <c r="H8" s="59" t="s">
        <v>114</v>
      </c>
      <c r="I8" s="54" t="s">
        <v>116</v>
      </c>
      <c r="J8" s="54" t="s">
        <v>116</v>
      </c>
      <c r="K8" s="60" t="s">
        <v>114</v>
      </c>
      <c r="L8" s="55"/>
      <c r="M8" s="55"/>
      <c r="N8" s="24"/>
      <c r="O8" s="56" t="s">
        <v>112</v>
      </c>
      <c r="P8" s="24"/>
      <c r="Q8" s="24"/>
      <c r="R8" s="24"/>
      <c r="S8" s="25"/>
      <c r="T8" s="25"/>
      <c r="U8" s="25"/>
      <c r="V8" s="25"/>
      <c r="W8" s="57" t="s">
        <v>117</v>
      </c>
      <c r="X8" s="57" t="s">
        <v>118</v>
      </c>
      <c r="Y8" s="57" t="s">
        <v>119</v>
      </c>
      <c r="Z8" s="57" t="s">
        <v>117</v>
      </c>
      <c r="AA8" s="57" t="s">
        <v>118</v>
      </c>
      <c r="AB8" s="57" t="s">
        <v>119</v>
      </c>
      <c r="AC8" s="57" t="s">
        <v>117</v>
      </c>
      <c r="AD8" s="57" t="s">
        <v>118</v>
      </c>
      <c r="AG8" s="61"/>
    </row>
    <row r="9" spans="1:33" x14ac:dyDescent="0.2">
      <c r="A9" s="62" t="str">
        <f>IF(L1="Metric","37.5mm","1 1/2 in.")</f>
        <v>1 1/2 in.</v>
      </c>
      <c r="B9" s="63"/>
      <c r="C9" s="64"/>
      <c r="D9" s="65" t="str">
        <f>IF(OR(C$2="",C$3=""),"",IF(C9="",0,(O9)))</f>
        <v/>
      </c>
      <c r="E9" s="66" t="str">
        <f>IF(D23="","",100)</f>
        <v/>
      </c>
      <c r="F9" s="62" t="str">
        <f>IF(E9="","",IF(E9&gt;9.9,ROUND(E9,0),ROUND(E9,1)))</f>
        <v/>
      </c>
      <c r="G9" s="67" t="str">
        <f>IF(ISERROR(IF(AND(AA9="",AD9=""),0,SUM(X9,AA9,AD9))),"",IF(AND(AA9="",AD9=""),0,SUM(X9,AA9,AD9)))</f>
        <v/>
      </c>
      <c r="H9" s="68">
        <f>IF(F9="",0,IF(G9&gt;9.9,ROUND(G9,0),ROUND(G9,1)))</f>
        <v>0</v>
      </c>
      <c r="I9" s="69"/>
      <c r="J9" s="70" t="str">
        <f t="shared" ref="J9:J12" si="0">IF(L$6="","",100)</f>
        <v/>
      </c>
      <c r="K9" s="55"/>
      <c r="L9" s="55"/>
      <c r="M9" s="55"/>
      <c r="N9" s="24"/>
      <c r="O9" s="56" t="e">
        <f t="shared" ref="O9:O20" si="1">ROUND(IF(C9="","",SUM(C9/$C$2)*100),1)</f>
        <v>#VALUE!</v>
      </c>
      <c r="P9" s="56" t="s">
        <v>120</v>
      </c>
      <c r="Q9" s="56">
        <v>2</v>
      </c>
      <c r="R9" s="56" t="s">
        <v>121</v>
      </c>
      <c r="S9" s="57" t="s">
        <v>122</v>
      </c>
      <c r="T9" s="57" t="s">
        <v>123</v>
      </c>
      <c r="U9" s="57">
        <v>6</v>
      </c>
      <c r="V9" s="25"/>
      <c r="W9" s="57">
        <f>Z2*100</f>
        <v>100</v>
      </c>
      <c r="X9" s="57" t="e">
        <f>ROUND(IF(W9="",0,SUM(F9*(W9/100))),1)</f>
        <v>#VALUE!</v>
      </c>
      <c r="Y9" s="71">
        <f>I9</f>
        <v>0</v>
      </c>
      <c r="Z9" s="57">
        <f>Z4*100</f>
        <v>0</v>
      </c>
      <c r="AA9" s="57">
        <f>ROUND(IF(Z9="",0,SUM(Y9*(Z9/100))),1)</f>
        <v>0</v>
      </c>
      <c r="AB9" s="72" t="str">
        <f>J9</f>
        <v/>
      </c>
      <c r="AC9" s="37">
        <f>Z3*100</f>
        <v>0</v>
      </c>
      <c r="AD9" s="25">
        <f t="shared" ref="AD9:AD12" si="2">ROUND(IF(AC9=0,0,SUM(AB9*(AC9/100))),1)</f>
        <v>0</v>
      </c>
      <c r="AG9" s="61"/>
    </row>
    <row r="10" spans="1:33" x14ac:dyDescent="0.2">
      <c r="A10" s="62" t="str">
        <f>IF(L1="Metric","25mm","1 in.")</f>
        <v>1 in.</v>
      </c>
      <c r="B10" s="63"/>
      <c r="C10" s="64"/>
      <c r="D10" s="65" t="str">
        <f t="shared" ref="D10:D21" si="3">IF(OR(C$2="",C$3=""),"",IF(C10="",0,(O10)))</f>
        <v/>
      </c>
      <c r="E10" s="65" t="str">
        <f t="shared" ref="E10:E20" si="4">IF(E9="","",SUM(E9-D10))</f>
        <v/>
      </c>
      <c r="F10" s="62" t="str">
        <f t="shared" ref="F10:F20" si="5">IF(E10="","",IF(E10&gt;9.9,ROUND(E10,0),ROUND(E10,1)))</f>
        <v/>
      </c>
      <c r="G10" s="67" t="str">
        <f t="shared" ref="G10:G20" si="6">IF(ISERROR(IF(AND(AA10="",AD10=""),0,SUM(X10,AA10,AD10))),"",IF(AND(AA10="",AD10=""),0,SUM(X10,AA10,AD10)))</f>
        <v/>
      </c>
      <c r="H10" s="68">
        <f t="shared" ref="H10:H20" si="7">IF(F10="",0,IF(G10&gt;9.9,ROUND(G10,0),ROUND(G10,1)))</f>
        <v>0</v>
      </c>
      <c r="I10" s="69"/>
      <c r="J10" s="70" t="str">
        <f t="shared" si="0"/>
        <v/>
      </c>
      <c r="K10" s="60" t="e">
        <f>IF(O$22=100,(O10),IF(P$22=100,(P10),IF(Q$22=100,(Q10),IF(R$22=100,(R10),IF(S$22=100,(S10),IF(T$22=100,(T10),IF(U20=100,(U10),(U10))))))))</f>
        <v>#VALUE!</v>
      </c>
      <c r="L10" s="60" t="s">
        <v>124</v>
      </c>
      <c r="M10" s="55"/>
      <c r="N10" s="24"/>
      <c r="O10" s="56" t="e">
        <f t="shared" si="1"/>
        <v>#VALUE!</v>
      </c>
      <c r="P10" s="56" t="e">
        <f t="shared" ref="P10:P21" si="8">ROUND(IF(O10=L$12,M$12,O10),1)</f>
        <v>#VALUE!</v>
      </c>
      <c r="Q10" s="56" t="e">
        <f t="shared" ref="Q10:Q21" si="9">ROUND(IF(P10=L$13,M$13,P10),1)</f>
        <v>#VALUE!</v>
      </c>
      <c r="R10" s="56" t="e">
        <f t="shared" ref="R10:R21" si="10">ROUND(IF(Q10=L$14,M$14,Q10),1)</f>
        <v>#VALUE!</v>
      </c>
      <c r="S10" s="57" t="e">
        <f t="shared" ref="S10:S21" si="11">ROUND(IF(R10=L$15,M$15,R10),1)</f>
        <v>#VALUE!</v>
      </c>
      <c r="T10" s="57" t="e">
        <f t="shared" ref="T10:T21" si="12">ROUND(IF(S10=L$16,M$16,S10),1)</f>
        <v>#VALUE!</v>
      </c>
      <c r="U10" s="57" t="e">
        <f t="shared" ref="U10:U21" si="13">ROUND(IF(T10=L$17,M$17,T10),1)</f>
        <v>#VALUE!</v>
      </c>
      <c r="V10" s="25"/>
      <c r="W10" s="57">
        <f t="shared" ref="W10:W20" si="14">(W9)</f>
        <v>100</v>
      </c>
      <c r="X10" s="57" t="e">
        <f t="shared" ref="X10:X20" si="15">ROUND(IF(W10="",0,SUM(F10*(W10/100))),1)</f>
        <v>#VALUE!</v>
      </c>
      <c r="Y10" s="71">
        <f t="shared" ref="Y10:Y20" si="16">I10</f>
        <v>0</v>
      </c>
      <c r="Z10" s="57">
        <f t="shared" ref="Z10:Z20" si="17">(Z9)</f>
        <v>0</v>
      </c>
      <c r="AA10" s="57">
        <f t="shared" ref="AA10:AA20" si="18">ROUND(IF(Z10="",0,SUM(Y10*(Z10/100))),1)</f>
        <v>0</v>
      </c>
      <c r="AB10" s="72" t="str">
        <f t="shared" ref="AB10:AB21" si="19">J10</f>
        <v/>
      </c>
      <c r="AC10" s="37">
        <f>AC9</f>
        <v>0</v>
      </c>
      <c r="AD10" s="25">
        <f t="shared" si="2"/>
        <v>0</v>
      </c>
      <c r="AG10" s="61"/>
    </row>
    <row r="11" spans="1:33" x14ac:dyDescent="0.2">
      <c r="A11" s="62" t="str">
        <f>IF(L1="Metric","19mm","3/4 in.")</f>
        <v>3/4 in.</v>
      </c>
      <c r="B11" s="63"/>
      <c r="C11" s="64"/>
      <c r="D11" s="65" t="str">
        <f t="shared" si="3"/>
        <v/>
      </c>
      <c r="E11" s="65" t="str">
        <f t="shared" si="4"/>
        <v/>
      </c>
      <c r="F11" s="62" t="str">
        <f t="shared" si="5"/>
        <v/>
      </c>
      <c r="G11" s="67" t="str">
        <f t="shared" si="6"/>
        <v/>
      </c>
      <c r="H11" s="68">
        <f t="shared" si="7"/>
        <v>0</v>
      </c>
      <c r="I11" s="69"/>
      <c r="J11" s="70" t="str">
        <f t="shared" si="0"/>
        <v/>
      </c>
      <c r="K11" s="60" t="e">
        <f>IF(O$22=100,(O11),IF(P$22=100,(P11),IF(Q$22=100,(Q11),IF(R$22=100,(R11),IF(S$22=100,(S11),IF(T$22=100,(T11),IF(U21=100,(U11),(U11))))))))</f>
        <v>#VALUE!</v>
      </c>
      <c r="L11" s="60" t="s">
        <v>125</v>
      </c>
      <c r="M11" s="55"/>
      <c r="N11" s="24"/>
      <c r="O11" s="56" t="e">
        <f>ROUND(IF(C11="","",SUM(C11/$C$2)*100),1)</f>
        <v>#VALUE!</v>
      </c>
      <c r="P11" s="56" t="e">
        <f>ROUND(IF(O11=L$12,M$12,O11),1)</f>
        <v>#VALUE!</v>
      </c>
      <c r="Q11" s="56" t="e">
        <f t="shared" si="9"/>
        <v>#VALUE!</v>
      </c>
      <c r="R11" s="56" t="e">
        <f t="shared" si="10"/>
        <v>#VALUE!</v>
      </c>
      <c r="S11" s="57" t="e">
        <f t="shared" si="11"/>
        <v>#VALUE!</v>
      </c>
      <c r="T11" s="57" t="e">
        <f t="shared" si="12"/>
        <v>#VALUE!</v>
      </c>
      <c r="U11" s="57" t="e">
        <f t="shared" si="13"/>
        <v>#VALUE!</v>
      </c>
      <c r="V11" s="37"/>
      <c r="W11" s="57">
        <f t="shared" si="14"/>
        <v>100</v>
      </c>
      <c r="X11" s="57" t="e">
        <f t="shared" si="15"/>
        <v>#VALUE!</v>
      </c>
      <c r="Y11" s="71">
        <f t="shared" si="16"/>
        <v>0</v>
      </c>
      <c r="Z11" s="57">
        <f t="shared" si="17"/>
        <v>0</v>
      </c>
      <c r="AA11" s="57">
        <f t="shared" si="18"/>
        <v>0</v>
      </c>
      <c r="AB11" s="72" t="str">
        <f t="shared" si="19"/>
        <v/>
      </c>
      <c r="AC11" s="37">
        <f t="shared" ref="AC11:AC20" si="20">AC10</f>
        <v>0</v>
      </c>
      <c r="AD11" s="25">
        <f t="shared" si="2"/>
        <v>0</v>
      </c>
      <c r="AG11" s="61"/>
    </row>
    <row r="12" spans="1:33" x14ac:dyDescent="0.2">
      <c r="A12" s="62" t="str">
        <f>IF(L1="Metric","12.5mm","1/2 in.")</f>
        <v>1/2 in.</v>
      </c>
      <c r="B12" s="63"/>
      <c r="C12" s="64"/>
      <c r="D12" s="65" t="str">
        <f t="shared" si="3"/>
        <v/>
      </c>
      <c r="E12" s="65" t="str">
        <f t="shared" si="4"/>
        <v/>
      </c>
      <c r="F12" s="62" t="str">
        <f t="shared" si="5"/>
        <v/>
      </c>
      <c r="G12" s="67" t="str">
        <f t="shared" si="6"/>
        <v/>
      </c>
      <c r="H12" s="68">
        <f t="shared" si="7"/>
        <v>0</v>
      </c>
      <c r="I12" s="69"/>
      <c r="J12" s="70" t="str">
        <f t="shared" si="0"/>
        <v/>
      </c>
      <c r="K12" s="60" t="e">
        <f>IF(O$22=100,(O12),IF(P$22=100,(P12),IF(Q$22=100,(Q12),IF(R$22=100,(R12),IF(S$22=100,(S12),IF(T$22=100,(T12),IF(U22=100,(U12),(U12))))))))</f>
        <v>#VALUE!</v>
      </c>
      <c r="L12" s="60" t="e">
        <f>LARGE(O$9:O$21,1)</f>
        <v>#VALUE!</v>
      </c>
      <c r="M12" s="60" t="e">
        <f>IF(O22&lt;100,(L12+0.1),IF(O22&gt;100,(L12-0.1),L12))</f>
        <v>#VALUE!</v>
      </c>
      <c r="N12" s="24"/>
      <c r="O12" s="56" t="e">
        <f t="shared" si="1"/>
        <v>#VALUE!</v>
      </c>
      <c r="P12" s="56" t="e">
        <f t="shared" si="8"/>
        <v>#VALUE!</v>
      </c>
      <c r="Q12" s="56" t="e">
        <f t="shared" si="9"/>
        <v>#VALUE!</v>
      </c>
      <c r="R12" s="56" t="e">
        <f t="shared" si="10"/>
        <v>#VALUE!</v>
      </c>
      <c r="S12" s="57" t="e">
        <f t="shared" si="11"/>
        <v>#VALUE!</v>
      </c>
      <c r="T12" s="57" t="e">
        <f t="shared" si="12"/>
        <v>#VALUE!</v>
      </c>
      <c r="U12" s="57" t="e">
        <f t="shared" si="13"/>
        <v>#VALUE!</v>
      </c>
      <c r="V12" s="37"/>
      <c r="W12" s="57">
        <f t="shared" si="14"/>
        <v>100</v>
      </c>
      <c r="X12" s="57" t="e">
        <f t="shared" si="15"/>
        <v>#VALUE!</v>
      </c>
      <c r="Y12" s="71">
        <f t="shared" si="16"/>
        <v>0</v>
      </c>
      <c r="Z12" s="57">
        <f t="shared" si="17"/>
        <v>0</v>
      </c>
      <c r="AA12" s="57">
        <f t="shared" si="18"/>
        <v>0</v>
      </c>
      <c r="AB12" s="72" t="str">
        <f t="shared" si="19"/>
        <v/>
      </c>
      <c r="AC12" s="37">
        <f t="shared" si="20"/>
        <v>0</v>
      </c>
      <c r="AD12" s="25">
        <f t="shared" si="2"/>
        <v>0</v>
      </c>
      <c r="AG12" s="61"/>
    </row>
    <row r="13" spans="1:33" x14ac:dyDescent="0.2">
      <c r="A13" s="62" t="str">
        <f>IF(L1="Metric","9.5mm","3/8 in.")</f>
        <v>3/8 in.</v>
      </c>
      <c r="B13" s="63"/>
      <c r="C13" s="64"/>
      <c r="D13" s="65" t="str">
        <f t="shared" si="3"/>
        <v/>
      </c>
      <c r="E13" s="65" t="str">
        <f t="shared" si="4"/>
        <v/>
      </c>
      <c r="F13" s="62" t="str">
        <f t="shared" si="5"/>
        <v/>
      </c>
      <c r="G13" s="67">
        <f>IF(ISERROR(IF(AND(SUM(AA13)=0,SUM(AD13)=0),0,SUM(X13,AA13,AD13))),"",IF(AND(SUM(AA13)=0,SUM(AD13)=0),0,SUM(X13,AA13,AD13)))</f>
        <v>0</v>
      </c>
      <c r="H13" s="68">
        <f t="shared" si="7"/>
        <v>0</v>
      </c>
      <c r="I13" s="69"/>
      <c r="J13" s="70" t="str">
        <f>IF(L$6="","",100)</f>
        <v/>
      </c>
      <c r="K13" s="60" t="e">
        <f>IF(O$22=100,(O13),IF(P$22=100,(P13),IF(Q$22=100,(Q13),IF(R$22=100,(R13),IF(S$22=100,(S13),IF(T$22=100,(T13),IF(U22=100,(U13),(U13))))))))</f>
        <v>#VALUE!</v>
      </c>
      <c r="L13" s="60" t="e">
        <f>LARGE(O$9:O$21,2)</f>
        <v>#VALUE!</v>
      </c>
      <c r="M13" s="60" t="e">
        <f>IF(P22&lt;100,(L13+0.1),IF(P22&gt;100,(L13-0.1),L13))</f>
        <v>#VALUE!</v>
      </c>
      <c r="N13" s="24"/>
      <c r="O13" s="56" t="e">
        <f t="shared" si="1"/>
        <v>#VALUE!</v>
      </c>
      <c r="P13" s="56" t="e">
        <f t="shared" si="8"/>
        <v>#VALUE!</v>
      </c>
      <c r="Q13" s="56" t="e">
        <f t="shared" si="9"/>
        <v>#VALUE!</v>
      </c>
      <c r="R13" s="56" t="e">
        <f t="shared" si="10"/>
        <v>#VALUE!</v>
      </c>
      <c r="S13" s="57" t="e">
        <f t="shared" si="11"/>
        <v>#VALUE!</v>
      </c>
      <c r="T13" s="57" t="e">
        <f t="shared" si="12"/>
        <v>#VALUE!</v>
      </c>
      <c r="U13" s="57" t="e">
        <f t="shared" si="13"/>
        <v>#VALUE!</v>
      </c>
      <c r="V13" s="37"/>
      <c r="W13" s="57">
        <f t="shared" si="14"/>
        <v>100</v>
      </c>
      <c r="X13" s="57" t="e">
        <f t="shared" si="15"/>
        <v>#VALUE!</v>
      </c>
      <c r="Y13" s="71">
        <f t="shared" si="16"/>
        <v>0</v>
      </c>
      <c r="Z13" s="57">
        <f t="shared" si="17"/>
        <v>0</v>
      </c>
      <c r="AA13" s="57">
        <f t="shared" si="18"/>
        <v>0</v>
      </c>
      <c r="AB13" s="72" t="str">
        <f t="shared" si="19"/>
        <v/>
      </c>
      <c r="AC13" s="37">
        <f t="shared" si="20"/>
        <v>0</v>
      </c>
      <c r="AD13" s="25">
        <f>ROUND(IF(AC13=0,0,SUM(AB13*(AC13/100))),1)</f>
        <v>0</v>
      </c>
      <c r="AG13" s="61"/>
    </row>
    <row r="14" spans="1:33" x14ac:dyDescent="0.2">
      <c r="A14" s="62" t="str">
        <f>IF(L1="Metric","4.75mm","#4")</f>
        <v>#4</v>
      </c>
      <c r="B14" s="63"/>
      <c r="C14" s="64"/>
      <c r="D14" s="65" t="str">
        <f t="shared" si="3"/>
        <v/>
      </c>
      <c r="E14" s="65" t="str">
        <f t="shared" si="4"/>
        <v/>
      </c>
      <c r="F14" s="62" t="str">
        <f t="shared" si="5"/>
        <v/>
      </c>
      <c r="G14" s="67" t="str">
        <f t="shared" si="6"/>
        <v/>
      </c>
      <c r="H14" s="68">
        <f t="shared" si="7"/>
        <v>0</v>
      </c>
      <c r="I14" s="69"/>
      <c r="J14" s="70" t="str">
        <f>IF(L6="","",95)</f>
        <v/>
      </c>
      <c r="K14" s="60" t="e">
        <f>IF(O$22=100,(O14),IF(P$22=100,(P14),IF(Q$22=100,(Q14),IF(R$22=100,(R14),IF(S$22=100,(S14),IF(T$22=100,(T14),IF(U22=100,(U14),(U14))))))))</f>
        <v>#VALUE!</v>
      </c>
      <c r="L14" s="60" t="e">
        <f>LARGE(O$9:O$21,3)</f>
        <v>#VALUE!</v>
      </c>
      <c r="M14" s="60" t="e">
        <f>IF(Q22&lt;100,(L14+0.1),IF(Q22&gt;100,(L14-0.1),L14))</f>
        <v>#VALUE!</v>
      </c>
      <c r="N14" s="24"/>
      <c r="O14" s="56" t="e">
        <f t="shared" si="1"/>
        <v>#VALUE!</v>
      </c>
      <c r="P14" s="56" t="e">
        <f t="shared" si="8"/>
        <v>#VALUE!</v>
      </c>
      <c r="Q14" s="56" t="e">
        <f t="shared" si="9"/>
        <v>#VALUE!</v>
      </c>
      <c r="R14" s="56" t="e">
        <f t="shared" si="10"/>
        <v>#VALUE!</v>
      </c>
      <c r="S14" s="57" t="e">
        <f t="shared" si="11"/>
        <v>#VALUE!</v>
      </c>
      <c r="T14" s="57" t="e">
        <f t="shared" si="12"/>
        <v>#VALUE!</v>
      </c>
      <c r="U14" s="57" t="e">
        <f t="shared" si="13"/>
        <v>#VALUE!</v>
      </c>
      <c r="V14" s="37"/>
      <c r="W14" s="57">
        <f t="shared" si="14"/>
        <v>100</v>
      </c>
      <c r="X14" s="57" t="e">
        <f t="shared" si="15"/>
        <v>#VALUE!</v>
      </c>
      <c r="Y14" s="71">
        <f t="shared" si="16"/>
        <v>0</v>
      </c>
      <c r="Z14" s="57">
        <f t="shared" si="17"/>
        <v>0</v>
      </c>
      <c r="AA14" s="57">
        <f t="shared" si="18"/>
        <v>0</v>
      </c>
      <c r="AB14" s="72" t="str">
        <f t="shared" si="19"/>
        <v/>
      </c>
      <c r="AC14" s="37">
        <f t="shared" si="20"/>
        <v>0</v>
      </c>
      <c r="AD14" s="25">
        <f t="shared" ref="AD14:AD20" si="21">ROUND(IF(AC14=0,0,SUM(AB14*(AC14/100))),1)</f>
        <v>0</v>
      </c>
      <c r="AG14" s="61"/>
    </row>
    <row r="15" spans="1:33" x14ac:dyDescent="0.2">
      <c r="A15" s="62" t="str">
        <f>IF(L1="Metric","2.36mm","#8")</f>
        <v>#8</v>
      </c>
      <c r="B15" s="73"/>
      <c r="C15" s="64"/>
      <c r="D15" s="65" t="str">
        <f t="shared" si="3"/>
        <v/>
      </c>
      <c r="E15" s="65" t="str">
        <f t="shared" si="4"/>
        <v/>
      </c>
      <c r="F15" s="62" t="str">
        <f t="shared" si="5"/>
        <v/>
      </c>
      <c r="G15" s="67" t="str">
        <f t="shared" si="6"/>
        <v/>
      </c>
      <c r="H15" s="68">
        <f t="shared" si="7"/>
        <v>0</v>
      </c>
      <c r="I15" s="69"/>
      <c r="J15" s="70" t="str">
        <f>IF(L6="","",85)</f>
        <v/>
      </c>
      <c r="K15" s="60" t="e">
        <f>IF(O$22=100,(O15),IF(P$22=100,(P15),IF(Q$22=100,(Q15),IF(R$22=100,(R15),IF(S$22=100,(S15),IF(T$22=100,(T15),IF(U22=100,(U15),(U15))))))))</f>
        <v>#VALUE!</v>
      </c>
      <c r="L15" s="60" t="e">
        <f>LARGE(O$9:O$21,4)</f>
        <v>#VALUE!</v>
      </c>
      <c r="M15" s="60" t="e">
        <f>IF(R22&lt;100,(L15+0.1),IF(R22&gt;100,(L15-0.1),L15))</f>
        <v>#VALUE!</v>
      </c>
      <c r="N15" s="36"/>
      <c r="O15" s="56" t="e">
        <f t="shared" si="1"/>
        <v>#VALUE!</v>
      </c>
      <c r="P15" s="56" t="e">
        <f t="shared" si="8"/>
        <v>#VALUE!</v>
      </c>
      <c r="Q15" s="56" t="e">
        <f t="shared" si="9"/>
        <v>#VALUE!</v>
      </c>
      <c r="R15" s="56" t="e">
        <f t="shared" si="10"/>
        <v>#VALUE!</v>
      </c>
      <c r="S15" s="57" t="e">
        <f t="shared" si="11"/>
        <v>#VALUE!</v>
      </c>
      <c r="T15" s="57" t="e">
        <f t="shared" si="12"/>
        <v>#VALUE!</v>
      </c>
      <c r="U15" s="57" t="e">
        <f t="shared" si="13"/>
        <v>#VALUE!</v>
      </c>
      <c r="V15" s="37"/>
      <c r="W15" s="57">
        <f t="shared" si="14"/>
        <v>100</v>
      </c>
      <c r="X15" s="57" t="e">
        <f t="shared" si="15"/>
        <v>#VALUE!</v>
      </c>
      <c r="Y15" s="71">
        <f t="shared" si="16"/>
        <v>0</v>
      </c>
      <c r="Z15" s="57">
        <f t="shared" si="17"/>
        <v>0</v>
      </c>
      <c r="AA15" s="57">
        <f t="shared" si="18"/>
        <v>0</v>
      </c>
      <c r="AB15" s="72" t="str">
        <f t="shared" si="19"/>
        <v/>
      </c>
      <c r="AC15" s="37">
        <f t="shared" si="20"/>
        <v>0</v>
      </c>
      <c r="AD15" s="25">
        <f t="shared" si="21"/>
        <v>0</v>
      </c>
      <c r="AG15" s="61"/>
    </row>
    <row r="16" spans="1:33" x14ac:dyDescent="0.2">
      <c r="A16" s="62" t="str">
        <f>IF(L1="Metric","1.18mm","#16")</f>
        <v>#16</v>
      </c>
      <c r="B16" s="73"/>
      <c r="C16" s="64"/>
      <c r="D16" s="65" t="str">
        <f t="shared" si="3"/>
        <v/>
      </c>
      <c r="E16" s="65" t="str">
        <f t="shared" si="4"/>
        <v/>
      </c>
      <c r="F16" s="62" t="str">
        <f t="shared" si="5"/>
        <v/>
      </c>
      <c r="G16" s="67" t="str">
        <f t="shared" si="6"/>
        <v/>
      </c>
      <c r="H16" s="68">
        <f t="shared" si="7"/>
        <v>0</v>
      </c>
      <c r="I16" s="69"/>
      <c r="J16" s="70" t="str">
        <f>IF(L6="","",70)</f>
        <v/>
      </c>
      <c r="K16" s="60" t="e">
        <f>IF(O$22=100,(O16),IF(P$22=100,(P16),IF(Q$22=100,(Q16),IF(R$22=100,(R16),IF(S$22=100,(S16),IF(T$22=100,(T16),IF(U22=100,(U16),(U16))))))))</f>
        <v>#VALUE!</v>
      </c>
      <c r="L16" s="60" t="e">
        <f>LARGE(O$9:O$21,5)</f>
        <v>#VALUE!</v>
      </c>
      <c r="M16" s="60" t="e">
        <f>IF(S22&lt;100,(L16+0.1),IF(S22&gt;100,(L16-0.1),L16))</f>
        <v>#VALUE!</v>
      </c>
      <c r="N16" s="24"/>
      <c r="O16" s="56" t="e">
        <f t="shared" si="1"/>
        <v>#VALUE!</v>
      </c>
      <c r="P16" s="56" t="e">
        <f t="shared" si="8"/>
        <v>#VALUE!</v>
      </c>
      <c r="Q16" s="56" t="e">
        <f t="shared" si="9"/>
        <v>#VALUE!</v>
      </c>
      <c r="R16" s="56" t="e">
        <f t="shared" si="10"/>
        <v>#VALUE!</v>
      </c>
      <c r="S16" s="57" t="e">
        <f t="shared" si="11"/>
        <v>#VALUE!</v>
      </c>
      <c r="T16" s="57" t="e">
        <f t="shared" si="12"/>
        <v>#VALUE!</v>
      </c>
      <c r="U16" s="57" t="e">
        <f t="shared" si="13"/>
        <v>#VALUE!</v>
      </c>
      <c r="V16" s="37"/>
      <c r="W16" s="57">
        <f t="shared" si="14"/>
        <v>100</v>
      </c>
      <c r="X16" s="57" t="e">
        <f t="shared" si="15"/>
        <v>#VALUE!</v>
      </c>
      <c r="Y16" s="71">
        <f t="shared" si="16"/>
        <v>0</v>
      </c>
      <c r="Z16" s="57">
        <f t="shared" si="17"/>
        <v>0</v>
      </c>
      <c r="AA16" s="57">
        <f t="shared" si="18"/>
        <v>0</v>
      </c>
      <c r="AB16" s="72" t="str">
        <f t="shared" si="19"/>
        <v/>
      </c>
      <c r="AC16" s="37">
        <f t="shared" si="20"/>
        <v>0</v>
      </c>
      <c r="AD16" s="25">
        <f t="shared" si="21"/>
        <v>0</v>
      </c>
      <c r="AG16" s="61"/>
    </row>
    <row r="17" spans="1:33" x14ac:dyDescent="0.2">
      <c r="A17" s="62" t="str">
        <f>IF(L1="Metric","600um","#30")</f>
        <v>#30</v>
      </c>
      <c r="B17" s="73"/>
      <c r="C17" s="64"/>
      <c r="D17" s="65" t="str">
        <f t="shared" si="3"/>
        <v/>
      </c>
      <c r="E17" s="65" t="str">
        <f t="shared" si="4"/>
        <v/>
      </c>
      <c r="F17" s="62" t="str">
        <f t="shared" si="5"/>
        <v/>
      </c>
      <c r="G17" s="67" t="str">
        <f t="shared" si="6"/>
        <v/>
      </c>
      <c r="H17" s="68">
        <f t="shared" si="7"/>
        <v>0</v>
      </c>
      <c r="I17" s="69"/>
      <c r="J17" s="70" t="str">
        <f>IF(L6="","",50)</f>
        <v/>
      </c>
      <c r="K17" s="60" t="e">
        <f>IF(O$22=100,(O17),IF(P$22=100,(P17),IF(Q$22=100,(Q17),IF(R$22=100,(R17),IF(S$22=100,(S17),IF(T$22=100,(T17),IF(U22=100,(U17),(U17))))))))</f>
        <v>#VALUE!</v>
      </c>
      <c r="L17" s="60" t="e">
        <f>LARGE(O$9:O$21,6)</f>
        <v>#VALUE!</v>
      </c>
      <c r="M17" s="60" t="e">
        <f>IF(T22&lt;100,(L17+0.1),IF(T22&gt;100,(L17-0.1),L17))</f>
        <v>#VALUE!</v>
      </c>
      <c r="N17" s="24"/>
      <c r="O17" s="56" t="e">
        <f t="shared" si="1"/>
        <v>#VALUE!</v>
      </c>
      <c r="P17" s="56" t="e">
        <f t="shared" si="8"/>
        <v>#VALUE!</v>
      </c>
      <c r="Q17" s="56" t="e">
        <f t="shared" si="9"/>
        <v>#VALUE!</v>
      </c>
      <c r="R17" s="56" t="e">
        <f t="shared" si="10"/>
        <v>#VALUE!</v>
      </c>
      <c r="S17" s="57" t="e">
        <f t="shared" si="11"/>
        <v>#VALUE!</v>
      </c>
      <c r="T17" s="57" t="e">
        <f t="shared" si="12"/>
        <v>#VALUE!</v>
      </c>
      <c r="U17" s="57" t="e">
        <f t="shared" si="13"/>
        <v>#VALUE!</v>
      </c>
      <c r="V17" s="37"/>
      <c r="W17" s="57">
        <f t="shared" si="14"/>
        <v>100</v>
      </c>
      <c r="X17" s="57" t="e">
        <f t="shared" si="15"/>
        <v>#VALUE!</v>
      </c>
      <c r="Y17" s="71">
        <f t="shared" si="16"/>
        <v>0</v>
      </c>
      <c r="Z17" s="57">
        <f t="shared" si="17"/>
        <v>0</v>
      </c>
      <c r="AA17" s="57">
        <f t="shared" si="18"/>
        <v>0</v>
      </c>
      <c r="AB17" s="72" t="str">
        <f t="shared" si="19"/>
        <v/>
      </c>
      <c r="AC17" s="37">
        <f t="shared" si="20"/>
        <v>0</v>
      </c>
      <c r="AD17" s="25">
        <f t="shared" si="21"/>
        <v>0</v>
      </c>
      <c r="AG17" s="61"/>
    </row>
    <row r="18" spans="1:33" x14ac:dyDescent="0.2">
      <c r="A18" s="62" t="str">
        <f>IF(L1="Metric","300um","#50")</f>
        <v>#50</v>
      </c>
      <c r="B18" s="73"/>
      <c r="C18" s="64"/>
      <c r="D18" s="65" t="str">
        <f t="shared" si="3"/>
        <v/>
      </c>
      <c r="E18" s="65" t="str">
        <f t="shared" si="4"/>
        <v/>
      </c>
      <c r="F18" s="62" t="str">
        <f t="shared" si="5"/>
        <v/>
      </c>
      <c r="G18" s="67" t="str">
        <f t="shared" si="6"/>
        <v/>
      </c>
      <c r="H18" s="68">
        <f t="shared" si="7"/>
        <v>0</v>
      </c>
      <c r="I18" s="69"/>
      <c r="J18" s="70" t="str">
        <f>IF(L6="","",45)</f>
        <v/>
      </c>
      <c r="K18" s="60" t="e">
        <f>IF(O$22=100,(O18),IF(P$22=100,(P18),IF(Q$22=100,(Q18),IF(R$22=100,(R18),IF(S$22=100,(S18),IF(T$22=100,(T18),IF(U22=100,(U18),(U18))))))))</f>
        <v>#VALUE!</v>
      </c>
      <c r="L18" s="74"/>
      <c r="M18" s="74"/>
      <c r="N18" s="36"/>
      <c r="O18" s="56" t="e">
        <f t="shared" si="1"/>
        <v>#VALUE!</v>
      </c>
      <c r="P18" s="56" t="e">
        <f t="shared" si="8"/>
        <v>#VALUE!</v>
      </c>
      <c r="Q18" s="56" t="e">
        <f t="shared" si="9"/>
        <v>#VALUE!</v>
      </c>
      <c r="R18" s="56" t="e">
        <f t="shared" si="10"/>
        <v>#VALUE!</v>
      </c>
      <c r="S18" s="57" t="e">
        <f t="shared" si="11"/>
        <v>#VALUE!</v>
      </c>
      <c r="T18" s="57" t="e">
        <f t="shared" si="12"/>
        <v>#VALUE!</v>
      </c>
      <c r="U18" s="57" t="e">
        <f t="shared" si="13"/>
        <v>#VALUE!</v>
      </c>
      <c r="V18" s="37"/>
      <c r="W18" s="57">
        <f t="shared" si="14"/>
        <v>100</v>
      </c>
      <c r="X18" s="57" t="e">
        <f t="shared" si="15"/>
        <v>#VALUE!</v>
      </c>
      <c r="Y18" s="71">
        <f t="shared" si="16"/>
        <v>0</v>
      </c>
      <c r="Z18" s="57">
        <f t="shared" si="17"/>
        <v>0</v>
      </c>
      <c r="AA18" s="57">
        <f t="shared" si="18"/>
        <v>0</v>
      </c>
      <c r="AB18" s="72" t="str">
        <f t="shared" si="19"/>
        <v/>
      </c>
      <c r="AC18" s="37">
        <f t="shared" si="20"/>
        <v>0</v>
      </c>
      <c r="AD18" s="25">
        <f t="shared" si="21"/>
        <v>0</v>
      </c>
      <c r="AG18" s="61"/>
    </row>
    <row r="19" spans="1:33" x14ac:dyDescent="0.2">
      <c r="A19" s="62" t="str">
        <f>IF(L1="Metric","150um","#100")</f>
        <v>#100</v>
      </c>
      <c r="B19" s="73"/>
      <c r="C19" s="64"/>
      <c r="D19" s="65" t="str">
        <f t="shared" si="3"/>
        <v/>
      </c>
      <c r="E19" s="65" t="str">
        <f t="shared" si="4"/>
        <v/>
      </c>
      <c r="F19" s="62" t="str">
        <f t="shared" si="5"/>
        <v/>
      </c>
      <c r="G19" s="67" t="str">
        <f t="shared" si="6"/>
        <v/>
      </c>
      <c r="H19" s="68">
        <f t="shared" si="7"/>
        <v>0</v>
      </c>
      <c r="I19" s="69"/>
      <c r="J19" s="70" t="str">
        <f>IF(L6="","",35)</f>
        <v/>
      </c>
      <c r="K19" s="60" t="e">
        <f>IF(O$22=100,(O19),IF(P$22=100,(P19),IF(Q$22=100,(Q19),IF(R$22=100,(R19),IF(S$22=100,(S19),IF(T$22=100,(T19),IF(U22=100,(U19),(U19))))))))</f>
        <v>#VALUE!</v>
      </c>
      <c r="L19" s="74"/>
      <c r="M19" s="55"/>
      <c r="N19" s="36"/>
      <c r="O19" s="56" t="e">
        <f t="shared" si="1"/>
        <v>#VALUE!</v>
      </c>
      <c r="P19" s="56" t="e">
        <f t="shared" si="8"/>
        <v>#VALUE!</v>
      </c>
      <c r="Q19" s="56" t="e">
        <f t="shared" si="9"/>
        <v>#VALUE!</v>
      </c>
      <c r="R19" s="56" t="e">
        <f t="shared" si="10"/>
        <v>#VALUE!</v>
      </c>
      <c r="S19" s="57" t="e">
        <f t="shared" si="11"/>
        <v>#VALUE!</v>
      </c>
      <c r="T19" s="57" t="e">
        <f t="shared" si="12"/>
        <v>#VALUE!</v>
      </c>
      <c r="U19" s="57" t="e">
        <f t="shared" si="13"/>
        <v>#VALUE!</v>
      </c>
      <c r="V19" s="37"/>
      <c r="W19" s="57">
        <f t="shared" si="14"/>
        <v>100</v>
      </c>
      <c r="X19" s="57" t="e">
        <f t="shared" si="15"/>
        <v>#VALUE!</v>
      </c>
      <c r="Y19" s="71">
        <f t="shared" si="16"/>
        <v>0</v>
      </c>
      <c r="Z19" s="57">
        <f t="shared" si="17"/>
        <v>0</v>
      </c>
      <c r="AA19" s="57">
        <f t="shared" si="18"/>
        <v>0</v>
      </c>
      <c r="AB19" s="72" t="str">
        <f t="shared" si="19"/>
        <v/>
      </c>
      <c r="AC19" s="37">
        <f t="shared" si="20"/>
        <v>0</v>
      </c>
      <c r="AD19" s="25">
        <f t="shared" si="21"/>
        <v>0</v>
      </c>
      <c r="AG19" s="61"/>
    </row>
    <row r="20" spans="1:33" x14ac:dyDescent="0.2">
      <c r="A20" s="62" t="str">
        <f>IF(L1="Metric","75um","#200")</f>
        <v>#200</v>
      </c>
      <c r="B20" s="73"/>
      <c r="C20" s="64"/>
      <c r="D20" s="65" t="str">
        <f t="shared" si="3"/>
        <v/>
      </c>
      <c r="E20" s="65" t="str">
        <f t="shared" si="4"/>
        <v/>
      </c>
      <c r="F20" s="62" t="str">
        <f t="shared" si="5"/>
        <v/>
      </c>
      <c r="G20" s="67" t="str">
        <f t="shared" si="6"/>
        <v/>
      </c>
      <c r="H20" s="68">
        <f t="shared" si="7"/>
        <v>0</v>
      </c>
      <c r="I20" s="69"/>
      <c r="J20" s="70" t="str">
        <f>IF(L6="","",25)</f>
        <v/>
      </c>
      <c r="K20" s="60" t="e">
        <f>IF(O$22=100,(O20),IF(P$22=100,(P20),IF(Q$22=100,(Q20),IF(R$22=100,(R20),IF(S$22=100,(S20),IF(T$22=100,(T20),IF(U22=100,(U20),(U20))))))))</f>
        <v>#VALUE!</v>
      </c>
      <c r="L20" s="74"/>
      <c r="M20" s="74"/>
      <c r="N20" s="36"/>
      <c r="O20" s="56" t="e">
        <f t="shared" si="1"/>
        <v>#VALUE!</v>
      </c>
      <c r="P20" s="56" t="e">
        <f t="shared" si="8"/>
        <v>#VALUE!</v>
      </c>
      <c r="Q20" s="56" t="e">
        <f t="shared" si="9"/>
        <v>#VALUE!</v>
      </c>
      <c r="R20" s="56" t="e">
        <f t="shared" si="10"/>
        <v>#VALUE!</v>
      </c>
      <c r="S20" s="57" t="e">
        <f t="shared" si="11"/>
        <v>#VALUE!</v>
      </c>
      <c r="T20" s="57" t="e">
        <f t="shared" si="12"/>
        <v>#VALUE!</v>
      </c>
      <c r="U20" s="57" t="e">
        <f t="shared" si="13"/>
        <v>#VALUE!</v>
      </c>
      <c r="V20" s="37"/>
      <c r="W20" s="57">
        <f t="shared" si="14"/>
        <v>100</v>
      </c>
      <c r="X20" s="57" t="e">
        <f t="shared" si="15"/>
        <v>#VALUE!</v>
      </c>
      <c r="Y20" s="71">
        <f t="shared" si="16"/>
        <v>0</v>
      </c>
      <c r="Z20" s="57">
        <f t="shared" si="17"/>
        <v>0</v>
      </c>
      <c r="AA20" s="57">
        <f t="shared" si="18"/>
        <v>0</v>
      </c>
      <c r="AB20" s="72" t="str">
        <f t="shared" si="19"/>
        <v/>
      </c>
      <c r="AC20" s="37">
        <f t="shared" si="20"/>
        <v>0</v>
      </c>
      <c r="AD20" s="25">
        <f t="shared" si="21"/>
        <v>0</v>
      </c>
      <c r="AG20" s="61"/>
    </row>
    <row r="21" spans="1:33" x14ac:dyDescent="0.2">
      <c r="A21" s="62" t="s">
        <v>126</v>
      </c>
      <c r="B21" s="73"/>
      <c r="C21" s="64"/>
      <c r="D21" s="65" t="str">
        <f t="shared" si="3"/>
        <v/>
      </c>
      <c r="E21" s="75"/>
      <c r="F21" s="75"/>
      <c r="G21" s="76"/>
      <c r="H21" s="77"/>
      <c r="I21" s="77"/>
      <c r="J21" s="77"/>
      <c r="K21" s="78" t="e">
        <f>IF(O$22=100,(O21),IF(P$22=100,(P21),IF(Q$22=100,(Q21),IF(R$22=100,(R21),IF(S$22=100,(S21),IF(T$22=100,(T21),IF(U22=100,(U21),(U21))))))))</f>
        <v>#VALUE!</v>
      </c>
      <c r="L21" s="79"/>
      <c r="M21" s="36"/>
      <c r="N21" s="36"/>
      <c r="O21" s="56" t="e">
        <f>ROUND(IF(C21="","",SUM((C21+C22)/$C$2)*100),1)</f>
        <v>#VALUE!</v>
      </c>
      <c r="P21" s="56" t="e">
        <f t="shared" si="8"/>
        <v>#VALUE!</v>
      </c>
      <c r="Q21" s="56" t="e">
        <f t="shared" si="9"/>
        <v>#VALUE!</v>
      </c>
      <c r="R21" s="56" t="e">
        <f t="shared" si="10"/>
        <v>#VALUE!</v>
      </c>
      <c r="S21" s="57" t="e">
        <f t="shared" si="11"/>
        <v>#VALUE!</v>
      </c>
      <c r="T21" s="57" t="e">
        <f t="shared" si="12"/>
        <v>#VALUE!</v>
      </c>
      <c r="U21" s="57" t="e">
        <f t="shared" si="13"/>
        <v>#VALUE!</v>
      </c>
      <c r="V21" s="37"/>
      <c r="W21" s="25"/>
      <c r="X21" s="25"/>
      <c r="Y21" s="25"/>
      <c r="Z21" s="25"/>
      <c r="AA21" s="25"/>
      <c r="AB21" s="72">
        <f t="shared" si="19"/>
        <v>0</v>
      </c>
      <c r="AC21" s="25"/>
      <c r="AD21" s="25"/>
      <c r="AG21" s="61"/>
    </row>
    <row r="22" spans="1:33" x14ac:dyDescent="0.2">
      <c r="A22" s="62" t="s">
        <v>127</v>
      </c>
      <c r="B22" s="63"/>
      <c r="C22" s="65" t="str">
        <f>IF(C3="","",SUM(C2-C3))</f>
        <v/>
      </c>
      <c r="D22" s="80"/>
      <c r="E22" s="75"/>
      <c r="F22" s="81"/>
      <c r="G22" s="81"/>
      <c r="H22" s="81"/>
      <c r="I22" s="81"/>
      <c r="J22" s="81"/>
      <c r="K22" s="78" t="e">
        <f>SUM(K9:K21)</f>
        <v>#VALUE!</v>
      </c>
      <c r="L22" s="82"/>
      <c r="M22" s="24"/>
      <c r="N22" s="24"/>
      <c r="O22" s="56" t="e">
        <f>ROUND(SUM(O9:O21),1)</f>
        <v>#VALUE!</v>
      </c>
      <c r="P22" s="56" t="e">
        <f t="shared" ref="P22:U22" si="22">ROUND(IF(P21="","",SUM(P10:P21)),1)</f>
        <v>#VALUE!</v>
      </c>
      <c r="Q22" s="56" t="e">
        <f t="shared" si="22"/>
        <v>#VALUE!</v>
      </c>
      <c r="R22" s="56" t="e">
        <f t="shared" si="22"/>
        <v>#VALUE!</v>
      </c>
      <c r="S22" s="57" t="e">
        <f t="shared" si="22"/>
        <v>#VALUE!</v>
      </c>
      <c r="T22" s="57" t="e">
        <f t="shared" si="22"/>
        <v>#VALUE!</v>
      </c>
      <c r="U22" s="57" t="e">
        <f t="shared" si="22"/>
        <v>#VALUE!</v>
      </c>
      <c r="V22" s="25"/>
      <c r="W22" s="25"/>
      <c r="X22" s="25"/>
      <c r="Y22" s="25"/>
      <c r="Z22" s="25"/>
      <c r="AA22" s="25"/>
      <c r="AB22" s="25"/>
      <c r="AC22" s="25"/>
      <c r="AD22" s="25"/>
      <c r="AG22" s="61"/>
    </row>
    <row r="23" spans="1:33" x14ac:dyDescent="0.2">
      <c r="A23" s="62" t="s">
        <v>128</v>
      </c>
      <c r="B23" s="83" t="str">
        <f>IF(B21="","",SUM(B15:B21))</f>
        <v/>
      </c>
      <c r="C23" s="83" t="str">
        <f>IF(C21="","",SUM(C9:C22))</f>
        <v/>
      </c>
      <c r="D23" s="65" t="str">
        <f>IF(D21="","",SUM(D9:D21))</f>
        <v/>
      </c>
      <c r="E23" s="84"/>
      <c r="F23" s="81"/>
      <c r="G23" s="81"/>
      <c r="H23" s="81"/>
      <c r="I23" s="81"/>
      <c r="J23" s="81"/>
      <c r="K23" s="85"/>
      <c r="L23" s="82"/>
      <c r="M23" s="24"/>
      <c r="N23" s="24"/>
      <c r="O23" s="24"/>
      <c r="P23" s="24"/>
      <c r="Q23" s="24"/>
      <c r="R23" s="24"/>
      <c r="S23" s="25"/>
      <c r="T23" s="25"/>
      <c r="U23" s="25"/>
      <c r="V23" s="25"/>
      <c r="W23" s="37"/>
      <c r="X23" s="37"/>
      <c r="Y23" s="37"/>
      <c r="Z23" s="37"/>
      <c r="AA23" s="37"/>
      <c r="AB23" s="25"/>
      <c r="AC23" s="25"/>
      <c r="AD23" s="25"/>
      <c r="AG23" s="61"/>
    </row>
    <row r="24" spans="1:33" x14ac:dyDescent="0.2">
      <c r="A24" s="62" t="s">
        <v>129</v>
      </c>
      <c r="B24" s="65" t="str">
        <f>IF(B23="","",ROUND(SUM(B23/C5)*100,1))</f>
        <v/>
      </c>
      <c r="C24" s="65" t="str">
        <f>IF(C23="","",ROUND(SUM(C23/C2)*100,1))</f>
        <v/>
      </c>
      <c r="D24" s="34"/>
      <c r="E24" s="81"/>
      <c r="F24" s="81"/>
      <c r="G24" s="81"/>
      <c r="H24" s="81"/>
      <c r="I24" s="81"/>
      <c r="J24" s="81"/>
      <c r="K24" s="85"/>
      <c r="L24" s="82"/>
      <c r="M24" s="24"/>
      <c r="N24" s="24"/>
      <c r="O24" s="24"/>
      <c r="P24" s="24"/>
      <c r="Q24" s="24"/>
      <c r="R24" s="24"/>
      <c r="S24" s="25"/>
      <c r="T24" s="25"/>
      <c r="U24" s="25"/>
      <c r="V24" s="25"/>
      <c r="W24" s="57"/>
      <c r="X24" s="57"/>
      <c r="Y24" s="57"/>
      <c r="Z24" s="57"/>
      <c r="AA24" s="57"/>
      <c r="AB24" s="25"/>
      <c r="AC24" s="25"/>
      <c r="AD24" s="25"/>
      <c r="AG24" s="61"/>
    </row>
    <row r="25" spans="1:33" x14ac:dyDescent="0.2">
      <c r="A25" s="86"/>
      <c r="B25" s="86"/>
      <c r="C25" s="87"/>
      <c r="D25" s="34"/>
      <c r="E25" s="75"/>
      <c r="F25" s="81"/>
      <c r="G25" s="81"/>
      <c r="H25" s="81"/>
      <c r="I25" s="81"/>
      <c r="J25" s="81"/>
      <c r="K25" s="88"/>
      <c r="L25" s="82"/>
      <c r="M25" s="24"/>
      <c r="N25" s="24"/>
      <c r="O25" s="24"/>
      <c r="P25" s="24"/>
      <c r="Q25" s="24"/>
      <c r="R25" s="24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G25" s="61"/>
    </row>
    <row r="26" spans="1:33" hidden="1" x14ac:dyDescent="0.2">
      <c r="A26" s="89"/>
      <c r="B26" s="90"/>
      <c r="C26" s="86"/>
      <c r="D26" s="91"/>
      <c r="E26" s="92"/>
      <c r="F26" s="93"/>
      <c r="G26" s="93"/>
      <c r="H26" s="94"/>
      <c r="I26" s="95"/>
      <c r="J26" s="95"/>
      <c r="K26" s="89"/>
      <c r="L26" s="35"/>
      <c r="M26" s="35"/>
      <c r="N26" s="35"/>
      <c r="O26" s="96"/>
      <c r="P26" s="96"/>
      <c r="T26" s="98"/>
      <c r="U26" s="98"/>
      <c r="V26" s="98"/>
      <c r="W26" s="98"/>
    </row>
    <row r="27" spans="1:33" hidden="1" x14ac:dyDescent="0.2">
      <c r="A27" s="89"/>
      <c r="B27" s="90"/>
      <c r="C27" s="86"/>
      <c r="D27" s="91"/>
      <c r="E27" s="92"/>
      <c r="F27" s="93"/>
      <c r="G27" s="93"/>
      <c r="H27" s="94"/>
      <c r="I27" s="95"/>
      <c r="J27" s="95"/>
      <c r="K27" s="89"/>
      <c r="L27" s="35"/>
      <c r="M27" s="35"/>
      <c r="N27" s="35"/>
      <c r="O27" s="96"/>
      <c r="P27" s="96"/>
      <c r="T27" s="98"/>
      <c r="U27" s="98"/>
      <c r="V27" s="98"/>
      <c r="W27" s="98"/>
    </row>
    <row r="28" spans="1:33" hidden="1" x14ac:dyDescent="0.2">
      <c r="A28" s="89"/>
      <c r="B28" s="90"/>
      <c r="C28" s="86"/>
      <c r="D28" s="91"/>
      <c r="E28" s="92"/>
      <c r="F28" s="93"/>
      <c r="G28" s="93"/>
      <c r="H28" s="94"/>
      <c r="I28" s="95"/>
      <c r="J28" s="95"/>
      <c r="K28" s="89"/>
      <c r="L28" s="35"/>
      <c r="M28" s="35"/>
      <c r="N28" s="35"/>
      <c r="O28" s="96"/>
      <c r="P28" s="99"/>
      <c r="Q28" s="100" t="e">
        <f>IF(Q$56=100,(Q44),IF(R$56=100,(R44),IF(S$56=100,(S44),IF(T$56=100,(T44),IF(U$56=100,(U44),IF(V$56=100,(V44),IF(W56=100,(W44),(W44))))))))</f>
        <v>#VALUE!</v>
      </c>
      <c r="R28" s="100" t="s">
        <v>124</v>
      </c>
      <c r="T28" s="98"/>
      <c r="U28" s="98"/>
      <c r="V28" s="98"/>
      <c r="W28" s="98"/>
    </row>
    <row r="29" spans="1:33" hidden="1" x14ac:dyDescent="0.2">
      <c r="A29" s="89"/>
      <c r="B29" s="90"/>
      <c r="C29" s="86"/>
      <c r="D29" s="91"/>
      <c r="E29" s="92"/>
      <c r="F29" s="93"/>
      <c r="G29" s="93"/>
      <c r="H29" s="94"/>
      <c r="I29" s="95"/>
      <c r="J29" s="95"/>
      <c r="K29" s="89"/>
      <c r="L29" s="35"/>
      <c r="M29" s="35"/>
      <c r="N29" s="35"/>
      <c r="O29" s="96"/>
      <c r="P29" s="99"/>
      <c r="Q29" s="100" t="e">
        <f>IF(Q$56=100,(Q45),IF(R$56=100,(R45),IF(S$56=100,(S45),IF(T$56=100,(T45),IF(U$56=100,(U45),IF(V$56=100,(V45),IF(W56=100,(W45),(W45))))))))</f>
        <v>#VALUE!</v>
      </c>
      <c r="R29" s="100" t="s">
        <v>125</v>
      </c>
      <c r="T29" s="98"/>
      <c r="U29" s="98"/>
      <c r="V29" s="98"/>
      <c r="W29" s="98"/>
    </row>
    <row r="30" spans="1:33" hidden="1" x14ac:dyDescent="0.2">
      <c r="A30" s="89"/>
      <c r="B30" s="90"/>
      <c r="C30" s="86"/>
      <c r="D30" s="91"/>
      <c r="E30" s="92"/>
      <c r="F30" s="93"/>
      <c r="G30" s="93"/>
      <c r="H30" s="94"/>
      <c r="I30" s="95"/>
      <c r="J30" s="95"/>
      <c r="K30" s="89"/>
      <c r="L30" s="35"/>
      <c r="M30" s="35"/>
      <c r="N30" s="35"/>
      <c r="O30" s="96"/>
      <c r="P30" s="99"/>
      <c r="Q30" s="100" t="e">
        <f>IF(Q$56=100,(Q46),IF(R$56=100,(R46),IF(S$56=100,(S46),IF(T$56=100,(T46),IF(U$56=100,(U46),IF(V$56=100,(V46),IF(W56=100,(W46),(W46))))))))</f>
        <v>#VALUE!</v>
      </c>
      <c r="R30" s="100" t="e">
        <f>LARGE(Q$43:Q$55,1)</f>
        <v>#VALUE!</v>
      </c>
      <c r="S30" s="100" t="e">
        <f>IF(Q56&lt;100,(R30+0.1),IF(Q56&gt;100,(R30-0.1),R30))</f>
        <v>#VALUE!</v>
      </c>
      <c r="T30" s="98"/>
      <c r="U30" s="98"/>
      <c r="V30" s="98"/>
      <c r="W30" s="98"/>
    </row>
    <row r="31" spans="1:33" hidden="1" x14ac:dyDescent="0.2">
      <c r="A31" s="89"/>
      <c r="B31" s="330"/>
      <c r="C31" s="331"/>
      <c r="D31" s="91"/>
      <c r="E31" s="92"/>
      <c r="F31" s="93"/>
      <c r="G31" s="75"/>
      <c r="H31" s="75"/>
      <c r="I31" s="76"/>
      <c r="J31" s="76"/>
      <c r="K31" s="89"/>
      <c r="L31" s="35"/>
      <c r="M31" s="35"/>
      <c r="N31" s="35"/>
      <c r="O31" s="96"/>
      <c r="P31" s="99"/>
      <c r="Q31" s="100" t="e">
        <f>IF(Q$56=100,(Q47),IF(R$56=100,(R47),IF(S$56=100,(S47),IF(T$56=100,(T47),IF(U$56=100,(U47),IF(V$56=100,(V47),IF(W56=100,(W47),(W47))))))))</f>
        <v>#VALUE!</v>
      </c>
      <c r="R31" s="100" t="e">
        <f>LARGE(Q$43:Q$55,2)</f>
        <v>#VALUE!</v>
      </c>
      <c r="S31" s="100" t="e">
        <f>IF(R56&lt;100,(R31+0.1),IF(R56&gt;100,(R31-0.1),R31))</f>
        <v>#VALUE!</v>
      </c>
      <c r="T31" s="98"/>
      <c r="U31" s="98"/>
      <c r="V31" s="98"/>
      <c r="W31" s="98"/>
    </row>
    <row r="32" spans="1:33" hidden="1" x14ac:dyDescent="0.2">
      <c r="A32" s="89"/>
      <c r="B32" s="330"/>
      <c r="C32" s="331"/>
      <c r="D32" s="86"/>
      <c r="E32" s="93"/>
      <c r="F32" s="101"/>
      <c r="G32" s="75"/>
      <c r="H32" s="81"/>
      <c r="I32" s="81"/>
      <c r="J32" s="81"/>
      <c r="K32" s="89"/>
      <c r="L32" s="35"/>
      <c r="M32" s="35"/>
      <c r="N32" s="35"/>
      <c r="O32" s="96"/>
      <c r="P32" s="96"/>
      <c r="Q32" s="100" t="e">
        <f>IF(Q$56=100,(Q48),IF(R$56=100,(R48),IF(S$56=100,(S48),IF(T$56=100,(T48),IF(U$56=100,(U48),IF(V$56=100,(V48),IF(W56=100,(W48),(W48))))))))</f>
        <v>#VALUE!</v>
      </c>
      <c r="R32" s="100" t="e">
        <f>LARGE(Q$43:Q$55,3)</f>
        <v>#VALUE!</v>
      </c>
      <c r="S32" s="100" t="e">
        <f>IF(S56&lt;100,(R32+0.1),IF(S56&gt;100,(R32-0.1),R32))</f>
        <v>#VALUE!</v>
      </c>
      <c r="T32" s="98"/>
      <c r="U32" s="98"/>
      <c r="V32" s="98"/>
      <c r="W32" s="98"/>
    </row>
    <row r="33" spans="1:23" hidden="1" x14ac:dyDescent="0.2">
      <c r="A33" s="89"/>
      <c r="B33" s="89"/>
      <c r="C33" s="89"/>
      <c r="D33" s="89"/>
      <c r="E33" s="102"/>
      <c r="F33" s="102"/>
      <c r="G33" s="102"/>
      <c r="H33" s="102"/>
      <c r="I33" s="102"/>
      <c r="J33" s="102"/>
      <c r="K33" s="89"/>
      <c r="L33" s="35"/>
      <c r="M33" s="35"/>
      <c r="N33" s="35"/>
      <c r="O33" s="96"/>
      <c r="P33" s="96"/>
      <c r="Q33" s="100" t="e">
        <f>IF(Q$56=100,(Q49),IF(R$56=100,(R49),IF(S$56=100,(S49),IF(T$56=100,(T49),IF(U$56=100,(U49),IF(V$56=100,(V49),IF(W56=100,(W49),(W49))))))))</f>
        <v>#VALUE!</v>
      </c>
      <c r="R33" s="100" t="e">
        <f>LARGE(Q$43:Q$55,4)</f>
        <v>#VALUE!</v>
      </c>
      <c r="S33" s="100" t="e">
        <f>IF(T56&lt;100,(R33+0.1),IF(T56&gt;100,(R33-0.1),R33))</f>
        <v>#VALUE!</v>
      </c>
      <c r="T33" s="98"/>
      <c r="U33" s="98"/>
      <c r="V33" s="98"/>
      <c r="W33" s="98"/>
    </row>
    <row r="34" spans="1:23" hidden="1" x14ac:dyDescent="0.2">
      <c r="A34" s="89"/>
      <c r="B34" s="89"/>
      <c r="C34" s="89"/>
      <c r="D34" s="89"/>
      <c r="E34" s="102"/>
      <c r="F34" s="102"/>
      <c r="G34" s="102"/>
      <c r="H34" s="102"/>
      <c r="I34" s="102"/>
      <c r="J34" s="102"/>
      <c r="K34" s="89"/>
      <c r="L34" s="35"/>
      <c r="M34" s="35"/>
      <c r="N34" s="35"/>
      <c r="O34" s="96"/>
      <c r="P34" s="96"/>
      <c r="Q34" s="100" t="e">
        <f>IF(Q$56=100,(Q50),IF(R$56=100,(R50),IF(S$56=100,(S50),IF(T$56=100,(T50),IF(U$56=100,(U50),IF(V$56=100,(V50),IF(W56=100,(W50),(W50))))))))</f>
        <v>#VALUE!</v>
      </c>
      <c r="R34" s="100" t="e">
        <f>LARGE(Q$43:Q$55,5)</f>
        <v>#VALUE!</v>
      </c>
      <c r="S34" s="100" t="e">
        <f>IF(U56&lt;100,(R34+0.1),IF(U56&gt;100,(R34-0.1),R34))</f>
        <v>#VALUE!</v>
      </c>
    </row>
    <row r="35" spans="1:23" ht="15.75" hidden="1" thickBot="1" x14ac:dyDescent="0.25">
      <c r="A35" s="89"/>
      <c r="B35" s="103" t="s">
        <v>80</v>
      </c>
      <c r="C35" s="104"/>
      <c r="D35" s="104"/>
      <c r="E35" s="105"/>
      <c r="F35" s="106" t="s">
        <v>81</v>
      </c>
      <c r="G35" s="107"/>
      <c r="H35" s="108" t="s">
        <v>82</v>
      </c>
      <c r="I35" s="109"/>
      <c r="J35" s="110"/>
      <c r="K35" s="34"/>
      <c r="L35" s="35"/>
      <c r="M35" s="111"/>
      <c r="N35" s="35"/>
      <c r="O35" s="96"/>
      <c r="P35" s="96"/>
      <c r="Q35" s="100" t="e">
        <f>IF(Q$56=100,(Q51),IF(R$56=100,(R51),IF(S$56=100,(S51),IF(T$56=100,(T51),IF(U$56=100,(U51),IF(V$56=100,(V51),IF(W56=100,(W51),(W51))))))))</f>
        <v>#VALUE!</v>
      </c>
      <c r="R35" s="100" t="e">
        <f>LARGE(Q$43:Q$55,6)</f>
        <v>#VALUE!</v>
      </c>
      <c r="S35" s="100" t="e">
        <f>IF(V56&lt;100,(R35+0.1),IF(V56&gt;100,(R35-0.1),R35))</f>
        <v>#VALUE!</v>
      </c>
    </row>
    <row r="36" spans="1:23" hidden="1" x14ac:dyDescent="0.2">
      <c r="A36" s="89"/>
      <c r="B36" s="112"/>
      <c r="C36" s="113"/>
      <c r="D36" s="114" t="s">
        <v>90</v>
      </c>
      <c r="E36" s="115"/>
      <c r="F36" s="116"/>
      <c r="G36" s="117"/>
      <c r="H36" s="117"/>
      <c r="I36" s="101"/>
      <c r="J36" s="101"/>
      <c r="K36" s="31"/>
      <c r="L36" s="118"/>
      <c r="M36" s="35"/>
      <c r="N36" s="35"/>
      <c r="O36" s="96"/>
      <c r="P36" s="96"/>
      <c r="Q36" s="100" t="e">
        <f>IF(Q$56=100,(Q52),IF(R$56=100,(R52),IF(S$56=100,(S52),IF(T$56=100,(T52),IF(U$56=100,(U52),IF(V$56=100,(V52),IF(W56=100,(W52),(W52))))))))</f>
        <v>#VALUE!</v>
      </c>
      <c r="R36" s="98"/>
      <c r="S36" s="98"/>
      <c r="U36" s="98"/>
      <c r="V36" s="98"/>
      <c r="W36" s="98"/>
    </row>
    <row r="37" spans="1:23" ht="15.75" hidden="1" thickBot="1" x14ac:dyDescent="0.25">
      <c r="A37" s="89"/>
      <c r="B37" s="112"/>
      <c r="C37" s="113"/>
      <c r="D37" s="114" t="s">
        <v>93</v>
      </c>
      <c r="E37" s="119"/>
      <c r="F37" s="116"/>
      <c r="G37" s="120"/>
      <c r="H37" s="116" t="s">
        <v>130</v>
      </c>
      <c r="I37" s="101"/>
      <c r="J37" s="101"/>
      <c r="K37" s="31"/>
      <c r="L37" s="118"/>
      <c r="M37" s="35"/>
      <c r="N37" s="35"/>
      <c r="O37" s="96"/>
      <c r="P37" s="96"/>
      <c r="Q37" s="100" t="e">
        <f>IF(Q$56=100,(Q53),IF(R$56=100,(R53),IF(S$56=100,(S53),IF(T$56=100,(T53),IF(U$56=100,(U53),IF(V$56=100,(V53),IF(W56=100,(W53),(W53))))))))</f>
        <v>#VALUE!</v>
      </c>
      <c r="R37" s="98"/>
      <c r="U37" s="98"/>
      <c r="V37" s="98"/>
      <c r="W37" s="98"/>
    </row>
    <row r="38" spans="1:23" hidden="1" x14ac:dyDescent="0.2">
      <c r="A38" s="89"/>
      <c r="B38" s="112"/>
      <c r="C38" s="113"/>
      <c r="D38" s="114" t="s">
        <v>131</v>
      </c>
      <c r="E38" s="121"/>
      <c r="F38" s="116"/>
      <c r="G38" s="116"/>
      <c r="H38" s="116" t="s">
        <v>132</v>
      </c>
      <c r="I38" s="101"/>
      <c r="J38" s="101"/>
      <c r="K38" s="31"/>
      <c r="L38" s="118"/>
      <c r="M38" s="35"/>
      <c r="N38" s="35"/>
      <c r="O38" s="96"/>
      <c r="P38" s="96"/>
      <c r="Q38" s="100" t="e">
        <f>IF(Q$56=100,(Q54),IF(R$56=100,(R54),IF(S$56=100,(S54),IF(T$56=100,(T54),IF(U$56=100,(U54),IF(V$56=100,(V54),IF(W56=100,(W54),(W54))))))))</f>
        <v>#VALUE!</v>
      </c>
      <c r="R38" s="98"/>
      <c r="S38" s="98"/>
      <c r="U38" s="98"/>
      <c r="V38" s="98"/>
      <c r="W38" s="98"/>
    </row>
    <row r="39" spans="1:23" hidden="1" x14ac:dyDescent="0.2">
      <c r="A39" s="89"/>
      <c r="B39" s="112"/>
      <c r="C39" s="122"/>
      <c r="D39" s="114" t="s">
        <v>133</v>
      </c>
      <c r="E39" s="121"/>
      <c r="F39" s="116"/>
      <c r="G39" s="117"/>
      <c r="H39" s="117"/>
      <c r="I39" s="101"/>
      <c r="J39" s="101"/>
      <c r="K39" s="31"/>
      <c r="L39" s="118"/>
      <c r="M39" s="35"/>
      <c r="N39" s="35"/>
      <c r="O39" s="96"/>
      <c r="P39" s="96"/>
      <c r="Q39" s="100" t="e">
        <f>IF(Q$56=100,(Q55),IF(R$56=100,(R55),IF(S$56=100,(S55),IF(T$56=100,(T55),IF(U$56=100,(U55),IF(V$56=100,(V55),IF(W56=100,(W55),(W55))))))))</f>
        <v>#VALUE!</v>
      </c>
      <c r="R39" s="98"/>
      <c r="S39" s="98"/>
      <c r="U39" s="98"/>
      <c r="V39" s="98"/>
      <c r="W39" s="98"/>
    </row>
    <row r="40" spans="1:23" hidden="1" x14ac:dyDescent="0.2">
      <c r="A40" s="89"/>
      <c r="B40" s="123"/>
      <c r="C40" s="124" t="s">
        <v>99</v>
      </c>
      <c r="D40" s="125"/>
      <c r="E40" s="126" t="str">
        <f>IF(E39="","",ROUND(SUM(E38/E39),4))</f>
        <v/>
      </c>
      <c r="F40" s="116"/>
      <c r="G40" s="116"/>
      <c r="H40" s="116"/>
      <c r="I40" s="116"/>
      <c r="J40" s="116"/>
      <c r="K40" s="31"/>
      <c r="L40" s="118"/>
      <c r="M40" s="118"/>
      <c r="N40" s="118"/>
      <c r="O40" s="99"/>
      <c r="P40" s="99"/>
      <c r="Q40" s="100" t="e">
        <f>SUM(Q26:Q39)</f>
        <v>#VALUE!</v>
      </c>
      <c r="T40" s="98"/>
      <c r="U40" s="98"/>
      <c r="V40" s="98"/>
      <c r="W40" s="98"/>
    </row>
    <row r="41" spans="1:23" hidden="1" x14ac:dyDescent="0.2">
      <c r="A41" s="89"/>
      <c r="B41" s="332"/>
      <c r="C41" s="333"/>
      <c r="D41" s="127" t="s">
        <v>101</v>
      </c>
      <c r="E41" s="128" t="s">
        <v>102</v>
      </c>
      <c r="F41" s="129" t="s">
        <v>57</v>
      </c>
      <c r="G41" s="129" t="s">
        <v>57</v>
      </c>
      <c r="H41" s="130" t="s">
        <v>103</v>
      </c>
      <c r="I41" s="131"/>
      <c r="J41" s="131"/>
      <c r="K41" s="34"/>
      <c r="L41" s="35"/>
      <c r="M41" s="35"/>
      <c r="N41" s="35"/>
      <c r="O41" s="96"/>
      <c r="P41" s="96"/>
      <c r="Q41" s="100" t="s">
        <v>57</v>
      </c>
    </row>
    <row r="42" spans="1:23" hidden="1" x14ac:dyDescent="0.2">
      <c r="A42" s="89"/>
      <c r="B42" s="334" t="s">
        <v>110</v>
      </c>
      <c r="C42" s="335"/>
      <c r="D42" s="132" t="s">
        <v>134</v>
      </c>
      <c r="E42" s="133" t="s">
        <v>111</v>
      </c>
      <c r="F42" s="133" t="s">
        <v>112</v>
      </c>
      <c r="G42" s="133" t="s">
        <v>113</v>
      </c>
      <c r="H42" s="134" t="s">
        <v>114</v>
      </c>
      <c r="I42" s="131"/>
      <c r="J42" s="131"/>
      <c r="K42" s="89"/>
      <c r="L42" s="35"/>
      <c r="M42" s="35"/>
      <c r="N42" s="35"/>
      <c r="O42" s="96"/>
      <c r="P42" s="96"/>
      <c r="Q42" s="100" t="s">
        <v>112</v>
      </c>
    </row>
    <row r="43" spans="1:23" hidden="1" x14ac:dyDescent="0.2">
      <c r="A43" s="89"/>
      <c r="B43" s="135" t="s">
        <v>29</v>
      </c>
      <c r="C43" s="136" t="s">
        <v>135</v>
      </c>
      <c r="D43" s="137"/>
      <c r="E43" s="138"/>
      <c r="F43" s="139" t="str">
        <f>IF(E43="","",(Q43))</f>
        <v/>
      </c>
      <c r="G43" s="140" t="str">
        <f>IF(F57="","",100)</f>
        <v/>
      </c>
      <c r="H43" s="141" t="str">
        <f>IF(G43="","",IF(G43&gt;=10,ROUND(G43,0),ROUND(G43,1)))</f>
        <v/>
      </c>
      <c r="I43" s="95"/>
      <c r="J43" s="95"/>
      <c r="K43" s="89"/>
      <c r="L43" s="35"/>
      <c r="M43" s="35"/>
      <c r="N43" s="35"/>
      <c r="O43" s="96"/>
      <c r="P43" s="96"/>
      <c r="Q43" s="100" t="e">
        <f t="shared" ref="Q43:Q54" si="23">ROUND(IF(E43="","",SUM(E43/$E$36)*100),1)</f>
        <v>#VALUE!</v>
      </c>
      <c r="R43" s="100" t="s">
        <v>120</v>
      </c>
      <c r="S43" s="100">
        <v>2</v>
      </c>
      <c r="T43" s="100" t="s">
        <v>121</v>
      </c>
      <c r="U43" s="100" t="s">
        <v>122</v>
      </c>
      <c r="V43" s="100" t="s">
        <v>123</v>
      </c>
      <c r="W43" s="100">
        <v>6</v>
      </c>
    </row>
    <row r="44" spans="1:23" hidden="1" x14ac:dyDescent="0.2">
      <c r="A44" s="89"/>
      <c r="B44" s="135" t="s">
        <v>136</v>
      </c>
      <c r="C44" s="136" t="s">
        <v>137</v>
      </c>
      <c r="D44" s="137"/>
      <c r="E44" s="138"/>
      <c r="F44" s="139" t="str">
        <f>IF(E44="","",(Q28))</f>
        <v/>
      </c>
      <c r="G44" s="139" t="str">
        <f>IF(G43="","",SUM(G43-F44))</f>
        <v/>
      </c>
      <c r="H44" s="141" t="str">
        <f t="shared" ref="H44:H54" si="24">IF(G44="","",IF(G44&gt;=10,ROUND(G44,0),ROUND(G44,1)))</f>
        <v/>
      </c>
      <c r="I44" s="95"/>
      <c r="J44" s="95"/>
      <c r="K44" s="89"/>
      <c r="L44" s="35"/>
      <c r="M44" s="35"/>
      <c r="N44" s="35"/>
      <c r="O44" s="96"/>
      <c r="P44" s="96"/>
      <c r="Q44" s="100" t="e">
        <f t="shared" si="23"/>
        <v>#VALUE!</v>
      </c>
      <c r="R44" s="100" t="e">
        <f t="shared" ref="R44:R55" si="25">ROUND(IF(Q44=R$30,S$30,Q44),1)</f>
        <v>#VALUE!</v>
      </c>
      <c r="S44" s="100" t="e">
        <f t="shared" ref="S44:S55" si="26">ROUND(IF(R44=R$31,S$31,R44),1)</f>
        <v>#VALUE!</v>
      </c>
      <c r="T44" s="100" t="e">
        <f t="shared" ref="T44:T54" si="27">ROUND(IF(S44=R$32,S$32,S44),1)</f>
        <v>#VALUE!</v>
      </c>
      <c r="U44" s="100" t="e">
        <f t="shared" ref="U44:U54" si="28">ROUND(IF(T44=R$33,S$33,T44),1)</f>
        <v>#VALUE!</v>
      </c>
      <c r="V44" s="100" t="e">
        <f t="shared" ref="V44:V54" si="29">ROUND(IF(U44=R$34,S$34,U44),1)</f>
        <v>#VALUE!</v>
      </c>
      <c r="W44" s="100" t="e">
        <f t="shared" ref="W44:W54" si="30">ROUND(IF(V44=R$35,S$35,V44),1)</f>
        <v>#VALUE!</v>
      </c>
    </row>
    <row r="45" spans="1:23" hidden="1" x14ac:dyDescent="0.2">
      <c r="A45" s="89"/>
      <c r="B45" s="135" t="s">
        <v>31</v>
      </c>
      <c r="C45" s="136" t="s">
        <v>138</v>
      </c>
      <c r="D45" s="137"/>
      <c r="E45" s="138"/>
      <c r="F45" s="139" t="str">
        <f>IF(E45="","",(Q29))</f>
        <v/>
      </c>
      <c r="G45" s="139" t="str">
        <f t="shared" ref="G45:G52" si="31">IF(G44="","",SUM(G44-F45))</f>
        <v/>
      </c>
      <c r="H45" s="141" t="str">
        <f t="shared" si="24"/>
        <v/>
      </c>
      <c r="I45" s="95"/>
      <c r="J45" s="95"/>
      <c r="K45" s="89"/>
      <c r="L45" s="35"/>
      <c r="M45" s="35"/>
      <c r="N45" s="35"/>
      <c r="O45" s="96"/>
      <c r="P45" s="96"/>
      <c r="Q45" s="100" t="e">
        <f t="shared" si="23"/>
        <v>#VALUE!</v>
      </c>
      <c r="R45" s="100" t="e">
        <f t="shared" si="25"/>
        <v>#VALUE!</v>
      </c>
      <c r="S45" s="100" t="e">
        <f t="shared" si="26"/>
        <v>#VALUE!</v>
      </c>
      <c r="T45" s="100" t="e">
        <f t="shared" si="27"/>
        <v>#VALUE!</v>
      </c>
      <c r="U45" s="100" t="e">
        <f t="shared" si="28"/>
        <v>#VALUE!</v>
      </c>
      <c r="V45" s="100" t="e">
        <f t="shared" si="29"/>
        <v>#VALUE!</v>
      </c>
      <c r="W45" s="100" t="e">
        <f t="shared" si="30"/>
        <v>#VALUE!</v>
      </c>
    </row>
    <row r="46" spans="1:23" hidden="1" x14ac:dyDescent="0.2">
      <c r="A46" s="89"/>
      <c r="B46" s="135" t="s">
        <v>32</v>
      </c>
      <c r="C46" s="136" t="s">
        <v>139</v>
      </c>
      <c r="D46" s="137"/>
      <c r="E46" s="138"/>
      <c r="F46" s="139" t="str">
        <f>IF(E46="","",(Q30))</f>
        <v/>
      </c>
      <c r="G46" s="139" t="str">
        <f t="shared" si="31"/>
        <v/>
      </c>
      <c r="H46" s="141" t="str">
        <f t="shared" si="24"/>
        <v/>
      </c>
      <c r="I46" s="95"/>
      <c r="J46" s="95"/>
      <c r="K46" s="89"/>
      <c r="L46" s="35"/>
      <c r="M46" s="35"/>
      <c r="N46" s="35"/>
      <c r="O46" s="96"/>
      <c r="P46" s="96"/>
      <c r="Q46" s="100" t="e">
        <f t="shared" si="23"/>
        <v>#VALUE!</v>
      </c>
      <c r="R46" s="100" t="e">
        <f t="shared" si="25"/>
        <v>#VALUE!</v>
      </c>
      <c r="S46" s="100" t="e">
        <f t="shared" si="26"/>
        <v>#VALUE!</v>
      </c>
      <c r="T46" s="100" t="e">
        <f t="shared" si="27"/>
        <v>#VALUE!</v>
      </c>
      <c r="U46" s="100" t="e">
        <f t="shared" si="28"/>
        <v>#VALUE!</v>
      </c>
      <c r="V46" s="100" t="e">
        <f t="shared" si="29"/>
        <v>#VALUE!</v>
      </c>
      <c r="W46" s="100" t="e">
        <f t="shared" si="30"/>
        <v>#VALUE!</v>
      </c>
    </row>
    <row r="47" spans="1:23" hidden="1" x14ac:dyDescent="0.2">
      <c r="A47" s="89"/>
      <c r="B47" s="135" t="s">
        <v>33</v>
      </c>
      <c r="C47" s="136" t="s">
        <v>140</v>
      </c>
      <c r="D47" s="137"/>
      <c r="E47" s="138"/>
      <c r="F47" s="139" t="str">
        <f>IF(E47="","",(Q31))</f>
        <v/>
      </c>
      <c r="G47" s="139" t="str">
        <f t="shared" si="31"/>
        <v/>
      </c>
      <c r="H47" s="141" t="str">
        <f t="shared" si="24"/>
        <v/>
      </c>
      <c r="I47" s="95"/>
      <c r="J47" s="95"/>
      <c r="K47" s="89"/>
      <c r="L47" s="35"/>
      <c r="M47" s="35"/>
      <c r="N47" s="35"/>
      <c r="O47" s="96"/>
      <c r="P47" s="96"/>
      <c r="Q47" s="100" t="e">
        <f t="shared" si="23"/>
        <v>#VALUE!</v>
      </c>
      <c r="R47" s="100" t="e">
        <f t="shared" si="25"/>
        <v>#VALUE!</v>
      </c>
      <c r="S47" s="100" t="e">
        <f t="shared" si="26"/>
        <v>#VALUE!</v>
      </c>
      <c r="T47" s="100" t="e">
        <f t="shared" si="27"/>
        <v>#VALUE!</v>
      </c>
      <c r="U47" s="100" t="e">
        <f t="shared" si="28"/>
        <v>#VALUE!</v>
      </c>
      <c r="V47" s="100" t="e">
        <f t="shared" si="29"/>
        <v>#VALUE!</v>
      </c>
      <c r="W47" s="100" t="e">
        <f t="shared" si="30"/>
        <v>#VALUE!</v>
      </c>
    </row>
    <row r="48" spans="1:23" hidden="1" x14ac:dyDescent="0.2">
      <c r="A48" s="89"/>
      <c r="B48" s="135" t="s">
        <v>141</v>
      </c>
      <c r="C48" s="136" t="s">
        <v>142</v>
      </c>
      <c r="D48" s="137"/>
      <c r="E48" s="138"/>
      <c r="F48" s="139" t="str">
        <f>IF(E48="","",(Q32))</f>
        <v/>
      </c>
      <c r="G48" s="139" t="str">
        <f t="shared" si="31"/>
        <v/>
      </c>
      <c r="H48" s="141" t="str">
        <f t="shared" si="24"/>
        <v/>
      </c>
      <c r="I48" s="95"/>
      <c r="J48" s="95"/>
      <c r="K48" s="89"/>
      <c r="L48" s="35"/>
      <c r="M48" s="35"/>
      <c r="N48" s="35"/>
      <c r="O48" s="96"/>
      <c r="P48" s="96"/>
      <c r="Q48" s="100" t="e">
        <f t="shared" si="23"/>
        <v>#VALUE!</v>
      </c>
      <c r="R48" s="100" t="e">
        <f t="shared" si="25"/>
        <v>#VALUE!</v>
      </c>
      <c r="S48" s="100" t="e">
        <f t="shared" si="26"/>
        <v>#VALUE!</v>
      </c>
      <c r="T48" s="100" t="e">
        <f t="shared" si="27"/>
        <v>#VALUE!</v>
      </c>
      <c r="U48" s="100" t="e">
        <f t="shared" si="28"/>
        <v>#VALUE!</v>
      </c>
      <c r="V48" s="100" t="e">
        <f t="shared" si="29"/>
        <v>#VALUE!</v>
      </c>
      <c r="W48" s="100" t="e">
        <f t="shared" si="30"/>
        <v>#VALUE!</v>
      </c>
    </row>
    <row r="49" spans="1:23" hidden="1" x14ac:dyDescent="0.2">
      <c r="A49" s="89"/>
      <c r="B49" s="135" t="s">
        <v>143</v>
      </c>
      <c r="C49" s="136" t="s">
        <v>144</v>
      </c>
      <c r="D49" s="142"/>
      <c r="E49" s="138" t="str">
        <f>IF(D49="","",ROUND(SUM(D49*E$40),1))</f>
        <v/>
      </c>
      <c r="F49" s="139" t="str">
        <f t="shared" ref="F49:F55" si="32">IF(E49="","",(Q33))</f>
        <v/>
      </c>
      <c r="G49" s="139" t="str">
        <f t="shared" si="31"/>
        <v/>
      </c>
      <c r="H49" s="141" t="str">
        <f t="shared" si="24"/>
        <v/>
      </c>
      <c r="I49" s="95"/>
      <c r="J49" s="95"/>
      <c r="K49" s="89"/>
      <c r="L49" s="35"/>
      <c r="M49" s="35"/>
      <c r="N49" s="35"/>
      <c r="O49" s="96"/>
      <c r="P49" s="99"/>
      <c r="Q49" s="100" t="e">
        <f t="shared" si="23"/>
        <v>#VALUE!</v>
      </c>
      <c r="R49" s="100" t="e">
        <f t="shared" si="25"/>
        <v>#VALUE!</v>
      </c>
      <c r="S49" s="100" t="e">
        <f t="shared" si="26"/>
        <v>#VALUE!</v>
      </c>
      <c r="T49" s="100" t="e">
        <f t="shared" si="27"/>
        <v>#VALUE!</v>
      </c>
      <c r="U49" s="100" t="e">
        <f t="shared" si="28"/>
        <v>#VALUE!</v>
      </c>
      <c r="V49" s="100" t="e">
        <f t="shared" si="29"/>
        <v>#VALUE!</v>
      </c>
      <c r="W49" s="100" t="e">
        <f t="shared" si="30"/>
        <v>#VALUE!</v>
      </c>
    </row>
    <row r="50" spans="1:23" hidden="1" x14ac:dyDescent="0.2">
      <c r="A50" s="89"/>
      <c r="B50" s="135" t="s">
        <v>145</v>
      </c>
      <c r="C50" s="136" t="s">
        <v>146</v>
      </c>
      <c r="D50" s="142"/>
      <c r="E50" s="138" t="str">
        <f t="shared" ref="E50:E55" si="33">IF(D50="","",ROUND(SUM(D50*E$40),1))</f>
        <v/>
      </c>
      <c r="F50" s="139" t="str">
        <f t="shared" si="32"/>
        <v/>
      </c>
      <c r="G50" s="139" t="str">
        <f t="shared" si="31"/>
        <v/>
      </c>
      <c r="H50" s="141" t="str">
        <f t="shared" si="24"/>
        <v/>
      </c>
      <c r="I50" s="95"/>
      <c r="J50" s="95"/>
      <c r="K50" s="89"/>
      <c r="L50" s="35"/>
      <c r="M50" s="35"/>
      <c r="N50" s="35"/>
      <c r="O50" s="96"/>
      <c r="P50" s="96"/>
      <c r="Q50" s="100" t="e">
        <f t="shared" si="23"/>
        <v>#VALUE!</v>
      </c>
      <c r="R50" s="100" t="e">
        <f t="shared" si="25"/>
        <v>#VALUE!</v>
      </c>
      <c r="S50" s="100" t="e">
        <f t="shared" si="26"/>
        <v>#VALUE!</v>
      </c>
      <c r="T50" s="100" t="e">
        <f t="shared" si="27"/>
        <v>#VALUE!</v>
      </c>
      <c r="U50" s="100" t="e">
        <f t="shared" si="28"/>
        <v>#VALUE!</v>
      </c>
      <c r="V50" s="100" t="e">
        <f t="shared" si="29"/>
        <v>#VALUE!</v>
      </c>
      <c r="W50" s="100" t="e">
        <f t="shared" si="30"/>
        <v>#VALUE!</v>
      </c>
    </row>
    <row r="51" spans="1:23" hidden="1" x14ac:dyDescent="0.2">
      <c r="A51" s="89"/>
      <c r="B51" s="135" t="s">
        <v>147</v>
      </c>
      <c r="C51" s="136" t="str">
        <f>"600 "&amp;CHAR(181)&amp;"m"</f>
        <v>600 µm</v>
      </c>
      <c r="D51" s="142"/>
      <c r="E51" s="138" t="str">
        <f t="shared" si="33"/>
        <v/>
      </c>
      <c r="F51" s="139" t="str">
        <f t="shared" si="32"/>
        <v/>
      </c>
      <c r="G51" s="139" t="str">
        <f t="shared" si="31"/>
        <v/>
      </c>
      <c r="H51" s="141" t="str">
        <f t="shared" si="24"/>
        <v/>
      </c>
      <c r="I51" s="95"/>
      <c r="J51" s="95"/>
      <c r="K51" s="89"/>
      <c r="L51" s="35"/>
      <c r="M51" s="35"/>
      <c r="N51" s="35"/>
      <c r="O51" s="96"/>
      <c r="P51" s="96"/>
      <c r="Q51" s="100" t="e">
        <f t="shared" si="23"/>
        <v>#VALUE!</v>
      </c>
      <c r="R51" s="100" t="e">
        <f t="shared" si="25"/>
        <v>#VALUE!</v>
      </c>
      <c r="S51" s="100" t="e">
        <f t="shared" si="26"/>
        <v>#VALUE!</v>
      </c>
      <c r="T51" s="100" t="e">
        <f t="shared" si="27"/>
        <v>#VALUE!</v>
      </c>
      <c r="U51" s="100" t="e">
        <f t="shared" si="28"/>
        <v>#VALUE!</v>
      </c>
      <c r="V51" s="100" t="e">
        <f t="shared" si="29"/>
        <v>#VALUE!</v>
      </c>
      <c r="W51" s="100" t="e">
        <f t="shared" si="30"/>
        <v>#VALUE!</v>
      </c>
    </row>
    <row r="52" spans="1:23" hidden="1" x14ac:dyDescent="0.2">
      <c r="A52" s="89"/>
      <c r="B52" s="135" t="s">
        <v>148</v>
      </c>
      <c r="C52" s="136" t="str">
        <f>"300 "&amp;CHAR(181)&amp;"m"</f>
        <v>300 µm</v>
      </c>
      <c r="D52" s="142"/>
      <c r="E52" s="138" t="str">
        <f t="shared" si="33"/>
        <v/>
      </c>
      <c r="F52" s="139" t="str">
        <f t="shared" si="32"/>
        <v/>
      </c>
      <c r="G52" s="139" t="str">
        <f t="shared" si="31"/>
        <v/>
      </c>
      <c r="H52" s="141" t="str">
        <f t="shared" si="24"/>
        <v/>
      </c>
      <c r="I52" s="95"/>
      <c r="J52" s="95"/>
      <c r="K52" s="89"/>
      <c r="L52" s="35"/>
      <c r="M52" s="35"/>
      <c r="N52" s="35"/>
      <c r="O52" s="96"/>
      <c r="P52" s="99"/>
      <c r="Q52" s="100" t="e">
        <f t="shared" si="23"/>
        <v>#VALUE!</v>
      </c>
      <c r="R52" s="100" t="e">
        <f t="shared" si="25"/>
        <v>#VALUE!</v>
      </c>
      <c r="S52" s="100" t="e">
        <f t="shared" si="26"/>
        <v>#VALUE!</v>
      </c>
      <c r="T52" s="100" t="e">
        <f t="shared" si="27"/>
        <v>#VALUE!</v>
      </c>
      <c r="U52" s="100" t="e">
        <f t="shared" si="28"/>
        <v>#VALUE!</v>
      </c>
      <c r="V52" s="100" t="e">
        <f t="shared" si="29"/>
        <v>#VALUE!</v>
      </c>
      <c r="W52" s="100" t="e">
        <f t="shared" si="30"/>
        <v>#VALUE!</v>
      </c>
    </row>
    <row r="53" spans="1:23" hidden="1" x14ac:dyDescent="0.2">
      <c r="A53" s="89"/>
      <c r="B53" s="135" t="s">
        <v>149</v>
      </c>
      <c r="C53" s="136" t="str">
        <f>"150 "&amp;CHAR(181)&amp;"m"</f>
        <v>150 µm</v>
      </c>
      <c r="D53" s="142"/>
      <c r="E53" s="138" t="str">
        <f t="shared" si="33"/>
        <v/>
      </c>
      <c r="F53" s="139" t="str">
        <f t="shared" si="32"/>
        <v/>
      </c>
      <c r="G53" s="139" t="str">
        <f>IF(G52="","",SUM(G52-F53))</f>
        <v/>
      </c>
      <c r="H53" s="141" t="str">
        <f t="shared" si="24"/>
        <v/>
      </c>
      <c r="I53" s="95"/>
      <c r="J53" s="95"/>
      <c r="K53" s="89"/>
      <c r="L53" s="35"/>
      <c r="M53" s="35"/>
      <c r="N53" s="35"/>
      <c r="O53" s="96"/>
      <c r="P53" s="99"/>
      <c r="Q53" s="100" t="e">
        <f t="shared" si="23"/>
        <v>#VALUE!</v>
      </c>
      <c r="R53" s="100" t="e">
        <f t="shared" si="25"/>
        <v>#VALUE!</v>
      </c>
      <c r="S53" s="100" t="e">
        <f t="shared" si="26"/>
        <v>#VALUE!</v>
      </c>
      <c r="T53" s="100" t="e">
        <f t="shared" si="27"/>
        <v>#VALUE!</v>
      </c>
      <c r="U53" s="100" t="e">
        <f t="shared" si="28"/>
        <v>#VALUE!</v>
      </c>
      <c r="V53" s="100" t="e">
        <f t="shared" si="29"/>
        <v>#VALUE!</v>
      </c>
      <c r="W53" s="100" t="e">
        <f t="shared" si="30"/>
        <v>#VALUE!</v>
      </c>
    </row>
    <row r="54" spans="1:23" ht="15.75" hidden="1" thickBot="1" x14ac:dyDescent="0.25">
      <c r="A54" s="89"/>
      <c r="B54" s="135" t="s">
        <v>150</v>
      </c>
      <c r="C54" s="136" t="str">
        <f>"75 "&amp;CHAR(181)&amp;"m"</f>
        <v>75 µm</v>
      </c>
      <c r="D54" s="142"/>
      <c r="E54" s="138" t="str">
        <f t="shared" si="33"/>
        <v/>
      </c>
      <c r="F54" s="139" t="str">
        <f t="shared" si="32"/>
        <v/>
      </c>
      <c r="G54" s="143" t="str">
        <f>IF(G53="","",SUM(G53-F54))</f>
        <v/>
      </c>
      <c r="H54" s="144" t="str">
        <f t="shared" si="24"/>
        <v/>
      </c>
      <c r="I54" s="95"/>
      <c r="J54" s="95"/>
      <c r="K54" s="89"/>
      <c r="L54" s="35"/>
      <c r="M54" s="35"/>
      <c r="N54" s="35"/>
      <c r="O54" s="96"/>
      <c r="P54" s="99"/>
      <c r="Q54" s="100" t="e">
        <f t="shared" si="23"/>
        <v>#VALUE!</v>
      </c>
      <c r="R54" s="100" t="e">
        <f t="shared" si="25"/>
        <v>#VALUE!</v>
      </c>
      <c r="S54" s="100" t="e">
        <f t="shared" si="26"/>
        <v>#VALUE!</v>
      </c>
      <c r="T54" s="100" t="e">
        <f t="shared" si="27"/>
        <v>#VALUE!</v>
      </c>
      <c r="U54" s="100" t="e">
        <f t="shared" si="28"/>
        <v>#VALUE!</v>
      </c>
      <c r="V54" s="100" t="e">
        <f t="shared" si="29"/>
        <v>#VALUE!</v>
      </c>
      <c r="W54" s="100" t="e">
        <f t="shared" si="30"/>
        <v>#VALUE!</v>
      </c>
    </row>
    <row r="55" spans="1:23" ht="15.75" hidden="1" thickBot="1" x14ac:dyDescent="0.25">
      <c r="A55" s="89"/>
      <c r="B55" s="319" t="s">
        <v>126</v>
      </c>
      <c r="C55" s="320"/>
      <c r="D55" s="142"/>
      <c r="E55" s="138" t="str">
        <f t="shared" si="33"/>
        <v/>
      </c>
      <c r="F55" s="145" t="str">
        <f t="shared" si="32"/>
        <v/>
      </c>
      <c r="G55" s="75"/>
      <c r="H55" s="75"/>
      <c r="I55" s="76"/>
      <c r="J55" s="76"/>
      <c r="K55" s="89"/>
      <c r="L55" s="35"/>
      <c r="M55" s="35"/>
      <c r="N55" s="35"/>
      <c r="O55" s="96"/>
      <c r="P55" s="99"/>
      <c r="Q55" s="100" t="e">
        <f>ROUND(IF(E55="","",SUM((E55+E56)/$E$36)*100),1)</f>
        <v>#VALUE!</v>
      </c>
      <c r="R55" s="100" t="e">
        <f t="shared" si="25"/>
        <v>#VALUE!</v>
      </c>
      <c r="S55" s="100" t="e">
        <f t="shared" si="26"/>
        <v>#VALUE!</v>
      </c>
      <c r="T55" s="100" t="e">
        <f>ROUND(IF(S55=R$32,S$32,S55),1)</f>
        <v>#VALUE!</v>
      </c>
      <c r="U55" s="100" t="e">
        <f>ROUND(IF(T55=R$33,S$33,T55),1)</f>
        <v>#VALUE!</v>
      </c>
      <c r="V55" s="100" t="e">
        <f>ROUND(IF(U55=R$34,S$34,U55),1)</f>
        <v>#VALUE!</v>
      </c>
      <c r="W55" s="100" t="e">
        <f>ROUND(IF(V55=R$35,S$35,V55),1)</f>
        <v>#VALUE!</v>
      </c>
    </row>
    <row r="56" spans="1:23" ht="15.75" hidden="1" thickBot="1" x14ac:dyDescent="0.25">
      <c r="A56" s="89"/>
      <c r="B56" s="319" t="s">
        <v>127</v>
      </c>
      <c r="C56" s="320"/>
      <c r="D56" s="137"/>
      <c r="E56" s="146" t="str">
        <f>IF(E37="","",SUM(E36-E37))</f>
        <v/>
      </c>
      <c r="F56" s="147"/>
      <c r="G56" s="75"/>
      <c r="H56" s="81"/>
      <c r="I56" s="81"/>
      <c r="J56" s="81"/>
      <c r="K56" s="89"/>
      <c r="L56" s="35"/>
      <c r="M56" s="35"/>
      <c r="N56" s="35"/>
      <c r="O56" s="96"/>
      <c r="P56" s="96"/>
      <c r="Q56" s="100" t="e">
        <f>ROUND(SUM(Q43:Q55),1)</f>
        <v>#VALUE!</v>
      </c>
      <c r="R56" s="100" t="e">
        <f t="shared" ref="R56:W56" si="34">ROUND(IF(R55="","",SUM(R44:R55)),1)</f>
        <v>#VALUE!</v>
      </c>
      <c r="S56" s="100" t="e">
        <f t="shared" si="34"/>
        <v>#VALUE!</v>
      </c>
      <c r="T56" s="100" t="e">
        <f t="shared" si="34"/>
        <v>#VALUE!</v>
      </c>
      <c r="U56" s="100" t="e">
        <f t="shared" si="34"/>
        <v>#VALUE!</v>
      </c>
      <c r="V56" s="100" t="e">
        <f t="shared" si="34"/>
        <v>#VALUE!</v>
      </c>
      <c r="W56" s="100" t="e">
        <f t="shared" si="34"/>
        <v>#VALUE!</v>
      </c>
    </row>
    <row r="57" spans="1:23" ht="15.75" hidden="1" thickBot="1" x14ac:dyDescent="0.25">
      <c r="A57" s="89"/>
      <c r="B57" s="319" t="s">
        <v>128</v>
      </c>
      <c r="C57" s="320"/>
      <c r="D57" s="148" t="str">
        <f>IF(D55="","",SUM(D49:D55))</f>
        <v/>
      </c>
      <c r="E57" s="149" t="str">
        <f>IF(E55="","",SUM(E43:E56))</f>
        <v/>
      </c>
      <c r="F57" s="150" t="str">
        <f>IF(F55="","",SUM(F43:F55))</f>
        <v/>
      </c>
      <c r="G57" s="84"/>
      <c r="H57" s="81"/>
      <c r="I57" s="81"/>
      <c r="J57" s="81"/>
      <c r="K57" s="34"/>
      <c r="L57" s="35"/>
      <c r="M57" s="35"/>
      <c r="N57" s="35"/>
      <c r="O57" s="96"/>
      <c r="P57" s="96"/>
    </row>
    <row r="58" spans="1:23" ht="15.75" hidden="1" thickBot="1" x14ac:dyDescent="0.25">
      <c r="A58" s="89"/>
      <c r="B58" s="339" t="s">
        <v>129</v>
      </c>
      <c r="C58" s="340"/>
      <c r="D58" s="151" t="str">
        <f>IF(D57="","",ROUND((SUM(D57/E39)*100),1))</f>
        <v/>
      </c>
      <c r="E58" s="145" t="str">
        <f>IF(E57="","",ROUND((SUM(E57/E36)*100),1))</f>
        <v/>
      </c>
      <c r="F58" s="81"/>
      <c r="G58" s="81"/>
      <c r="H58" s="81"/>
      <c r="I58" s="81"/>
      <c r="J58" s="81"/>
      <c r="K58" s="34"/>
      <c r="L58" s="35"/>
      <c r="M58" s="35"/>
      <c r="N58" s="35"/>
      <c r="O58" s="96"/>
      <c r="P58" s="96"/>
    </row>
    <row r="59" spans="1:23" hidden="1" x14ac:dyDescent="0.2">
      <c r="A59" s="89"/>
      <c r="B59" s="89"/>
      <c r="C59" s="89"/>
      <c r="D59" s="89"/>
      <c r="E59" s="102"/>
      <c r="F59" s="102"/>
      <c r="G59" s="102"/>
      <c r="H59" s="102"/>
      <c r="I59" s="102"/>
      <c r="J59" s="102"/>
      <c r="K59" s="89"/>
      <c r="L59" s="35"/>
      <c r="M59" s="35"/>
      <c r="N59" s="35"/>
      <c r="O59" s="96"/>
      <c r="P59" s="96"/>
    </row>
    <row r="60" spans="1:23" hidden="1" x14ac:dyDescent="0.2">
      <c r="A60" s="89"/>
      <c r="B60" s="89"/>
      <c r="C60" s="89"/>
      <c r="D60" s="89"/>
      <c r="E60" s="102"/>
      <c r="F60" s="102"/>
      <c r="G60" s="102"/>
      <c r="H60" s="102"/>
      <c r="I60" s="102"/>
      <c r="J60" s="102"/>
      <c r="K60" s="89"/>
      <c r="L60" s="35"/>
      <c r="M60" s="35"/>
      <c r="N60" s="35"/>
      <c r="O60" s="96"/>
      <c r="P60" s="96"/>
    </row>
    <row r="61" spans="1:23" hidden="1" x14ac:dyDescent="0.2">
      <c r="A61" s="89"/>
      <c r="B61" s="89"/>
      <c r="C61" s="89"/>
      <c r="D61" s="89"/>
      <c r="E61" s="102"/>
      <c r="F61" s="102"/>
      <c r="G61" s="102"/>
      <c r="H61" s="102"/>
      <c r="I61" s="102"/>
      <c r="J61" s="102"/>
      <c r="K61" s="89"/>
      <c r="L61" s="35"/>
      <c r="M61" s="35"/>
      <c r="N61" s="35"/>
      <c r="O61" s="96"/>
      <c r="P61" s="96"/>
    </row>
    <row r="62" spans="1:23" hidden="1" x14ac:dyDescent="0.2">
      <c r="A62" s="89"/>
      <c r="B62" s="89"/>
      <c r="C62" s="89"/>
      <c r="D62" s="89"/>
      <c r="E62" s="102"/>
      <c r="F62" s="102"/>
      <c r="G62" s="102"/>
      <c r="H62" s="102"/>
      <c r="I62" s="102"/>
      <c r="J62" s="102"/>
      <c r="K62" s="89"/>
      <c r="L62" s="35"/>
      <c r="M62" s="35"/>
      <c r="N62" s="35"/>
      <c r="O62" s="96"/>
      <c r="P62" s="96"/>
    </row>
    <row r="63" spans="1:23" hidden="1" x14ac:dyDescent="0.2">
      <c r="A63" s="89"/>
      <c r="B63" s="89"/>
      <c r="C63" s="89"/>
      <c r="D63" s="89"/>
      <c r="E63" s="102"/>
      <c r="F63" s="102"/>
      <c r="G63" s="102"/>
      <c r="H63" s="102"/>
      <c r="I63" s="102"/>
      <c r="J63" s="102"/>
      <c r="K63" s="89"/>
      <c r="L63" s="35"/>
      <c r="M63" s="35"/>
      <c r="N63" s="35"/>
      <c r="O63" s="96"/>
      <c r="P63" s="96"/>
    </row>
    <row r="64" spans="1:23" hidden="1" x14ac:dyDescent="0.2">
      <c r="A64" s="89"/>
      <c r="B64" s="89"/>
      <c r="C64" s="89"/>
      <c r="D64" s="89"/>
      <c r="E64" s="102"/>
      <c r="F64" s="102"/>
      <c r="G64" s="102"/>
      <c r="H64" s="102"/>
      <c r="I64" s="102"/>
      <c r="J64" s="102"/>
      <c r="K64" s="89"/>
      <c r="L64" s="35"/>
      <c r="M64" s="35"/>
      <c r="N64" s="35"/>
      <c r="O64" s="96"/>
      <c r="P64" s="96"/>
    </row>
    <row r="65" spans="1:23" hidden="1" x14ac:dyDescent="0.2">
      <c r="A65" s="89"/>
      <c r="B65" s="89"/>
      <c r="C65" s="89"/>
      <c r="D65" s="89"/>
      <c r="E65" s="102"/>
      <c r="F65" s="102"/>
      <c r="G65" s="102"/>
      <c r="H65" s="102"/>
      <c r="I65" s="102"/>
      <c r="J65" s="102"/>
      <c r="K65" s="89"/>
      <c r="L65" s="35"/>
      <c r="M65" s="35"/>
      <c r="N65" s="35"/>
      <c r="O65" s="96"/>
      <c r="P65" s="96"/>
    </row>
    <row r="66" spans="1:23" hidden="1" x14ac:dyDescent="0.2">
      <c r="A66" s="89"/>
      <c r="B66" s="89"/>
      <c r="C66" s="89"/>
      <c r="D66" s="89"/>
      <c r="E66" s="102"/>
      <c r="F66" s="102"/>
      <c r="G66" s="102"/>
      <c r="H66" s="102"/>
      <c r="I66" s="102"/>
      <c r="J66" s="102"/>
      <c r="K66" s="89"/>
      <c r="L66" s="35"/>
      <c r="M66" s="35"/>
      <c r="N66" s="35"/>
      <c r="O66" s="96"/>
      <c r="P66" s="96"/>
    </row>
    <row r="67" spans="1:23" hidden="1" x14ac:dyDescent="0.2">
      <c r="A67" s="89"/>
      <c r="B67" s="89"/>
      <c r="C67" s="89"/>
      <c r="D67" s="89"/>
      <c r="E67" s="102"/>
      <c r="F67" s="102"/>
      <c r="G67" s="102"/>
      <c r="H67" s="102"/>
      <c r="I67" s="102"/>
      <c r="J67" s="102"/>
      <c r="K67" s="89"/>
      <c r="L67" s="35"/>
      <c r="M67" s="35"/>
      <c r="N67" s="35"/>
      <c r="O67" s="96"/>
      <c r="P67" s="96"/>
    </row>
    <row r="68" spans="1:23" hidden="1" x14ac:dyDescent="0.2">
      <c r="A68" s="89"/>
      <c r="B68" s="89"/>
      <c r="C68" s="89"/>
      <c r="D68" s="89"/>
      <c r="E68" s="102"/>
      <c r="F68" s="102"/>
      <c r="G68" s="102"/>
      <c r="H68" s="102"/>
      <c r="I68" s="102"/>
      <c r="J68" s="102"/>
      <c r="K68" s="89"/>
      <c r="L68" s="35"/>
      <c r="M68" s="35"/>
      <c r="N68" s="35"/>
      <c r="O68" s="96"/>
      <c r="P68" s="96"/>
    </row>
    <row r="69" spans="1:23" hidden="1" x14ac:dyDescent="0.2">
      <c r="A69" s="89"/>
      <c r="B69" s="89"/>
      <c r="C69" s="89"/>
      <c r="D69" s="89"/>
      <c r="E69" s="102"/>
      <c r="F69" s="102"/>
      <c r="G69" s="102"/>
      <c r="H69" s="102"/>
      <c r="I69" s="102"/>
      <c r="J69" s="102"/>
      <c r="K69" s="89"/>
      <c r="L69" s="35"/>
      <c r="M69" s="35"/>
      <c r="N69" s="35"/>
      <c r="O69" s="96"/>
      <c r="P69" s="96"/>
    </row>
    <row r="70" spans="1:23" hidden="1" x14ac:dyDescent="0.2">
      <c r="A70" s="89"/>
      <c r="B70" s="89"/>
      <c r="C70" s="89"/>
      <c r="D70" s="89"/>
      <c r="E70" s="102"/>
      <c r="F70" s="102"/>
      <c r="G70" s="102"/>
      <c r="H70" s="102"/>
      <c r="I70" s="102"/>
      <c r="J70" s="102"/>
      <c r="K70" s="89"/>
      <c r="L70" s="35"/>
      <c r="M70" s="35"/>
      <c r="N70" s="35"/>
      <c r="O70" s="96"/>
      <c r="P70" s="96"/>
    </row>
    <row r="71" spans="1:23" hidden="1" x14ac:dyDescent="0.2">
      <c r="A71" s="89"/>
      <c r="B71" s="89"/>
      <c r="C71" s="89"/>
      <c r="D71" s="89"/>
      <c r="E71" s="102"/>
      <c r="F71" s="102"/>
      <c r="G71" s="102"/>
      <c r="H71" s="102"/>
      <c r="I71" s="102"/>
      <c r="J71" s="102"/>
      <c r="K71" s="89"/>
      <c r="L71" s="35"/>
      <c r="M71" s="35"/>
      <c r="N71" s="35"/>
      <c r="O71" s="96"/>
      <c r="P71" s="96"/>
    </row>
    <row r="72" spans="1:23" hidden="1" x14ac:dyDescent="0.2">
      <c r="A72" s="89"/>
      <c r="B72" s="89"/>
      <c r="C72" s="89"/>
      <c r="D72" s="89"/>
      <c r="E72" s="102"/>
      <c r="F72" s="102"/>
      <c r="G72" s="102"/>
      <c r="H72" s="102"/>
      <c r="I72" s="102"/>
      <c r="J72" s="102"/>
      <c r="K72" s="89"/>
      <c r="L72" s="35"/>
      <c r="M72" s="35"/>
      <c r="N72" s="35"/>
      <c r="O72" s="96"/>
      <c r="P72" s="96"/>
    </row>
    <row r="73" spans="1:23" hidden="1" x14ac:dyDescent="0.2">
      <c r="A73" s="89"/>
      <c r="B73" s="89"/>
      <c r="C73" s="89"/>
      <c r="D73" s="89"/>
      <c r="E73" s="102"/>
      <c r="F73" s="102"/>
      <c r="G73" s="102"/>
      <c r="H73" s="102"/>
      <c r="I73" s="102"/>
      <c r="J73" s="102"/>
      <c r="K73" s="89"/>
      <c r="L73" s="35"/>
      <c r="M73" s="35"/>
      <c r="N73" s="35"/>
      <c r="O73" s="96"/>
      <c r="P73" s="96"/>
    </row>
    <row r="74" spans="1:23" hidden="1" x14ac:dyDescent="0.2">
      <c r="A74" s="89"/>
      <c r="B74" s="89"/>
      <c r="C74" s="89"/>
      <c r="D74" s="89"/>
      <c r="E74" s="102"/>
      <c r="F74" s="102"/>
      <c r="G74" s="102"/>
      <c r="H74" s="102"/>
      <c r="I74" s="102"/>
      <c r="J74" s="102"/>
      <c r="K74" s="89"/>
      <c r="L74" s="35"/>
      <c r="M74" s="35"/>
      <c r="N74" s="35"/>
      <c r="O74" s="96"/>
      <c r="P74" s="96"/>
    </row>
    <row r="75" spans="1:23" hidden="1" x14ac:dyDescent="0.2">
      <c r="A75" s="89"/>
      <c r="B75" s="89"/>
      <c r="C75" s="89"/>
      <c r="D75" s="89"/>
      <c r="E75" s="102"/>
      <c r="F75" s="102"/>
      <c r="G75" s="102"/>
      <c r="H75" s="102"/>
      <c r="I75" s="102"/>
      <c r="J75" s="102"/>
      <c r="K75" s="89"/>
      <c r="L75" s="35"/>
      <c r="M75" s="35"/>
      <c r="N75" s="35"/>
      <c r="O75" s="96"/>
      <c r="P75" s="96"/>
    </row>
    <row r="76" spans="1:23" hidden="1" x14ac:dyDescent="0.2">
      <c r="A76" s="89"/>
      <c r="B76" s="89"/>
      <c r="C76" s="89"/>
      <c r="D76" s="89"/>
      <c r="E76" s="102"/>
      <c r="F76" s="102"/>
      <c r="G76" s="102"/>
      <c r="H76" s="102"/>
      <c r="I76" s="102"/>
      <c r="J76" s="102"/>
      <c r="K76" s="89"/>
      <c r="L76" s="35"/>
      <c r="M76" s="35"/>
      <c r="N76" s="35"/>
      <c r="O76" s="96"/>
      <c r="P76" s="96"/>
    </row>
    <row r="77" spans="1:23" hidden="1" x14ac:dyDescent="0.2">
      <c r="A77" s="89"/>
      <c r="B77" s="89"/>
      <c r="C77" s="89"/>
      <c r="D77" s="89"/>
      <c r="E77" s="102"/>
      <c r="F77" s="102"/>
      <c r="G77" s="102"/>
      <c r="H77" s="102"/>
      <c r="I77" s="102"/>
      <c r="J77" s="102"/>
      <c r="K77" s="89"/>
      <c r="L77" s="35"/>
      <c r="M77" s="35"/>
      <c r="N77" s="35"/>
      <c r="O77" s="96"/>
      <c r="P77" s="96"/>
    </row>
    <row r="78" spans="1:23" hidden="1" x14ac:dyDescent="0.2">
      <c r="A78" s="89"/>
      <c r="B78" s="89"/>
      <c r="C78" s="89"/>
      <c r="D78" s="89"/>
      <c r="E78" s="102"/>
      <c r="F78" s="102"/>
      <c r="G78" s="102"/>
      <c r="H78" s="102"/>
      <c r="I78" s="102"/>
      <c r="J78" s="102"/>
      <c r="K78" s="89"/>
      <c r="L78" s="35"/>
      <c r="M78" s="35"/>
      <c r="N78" s="35"/>
      <c r="O78" s="96"/>
      <c r="P78" s="96"/>
    </row>
    <row r="79" spans="1:23" hidden="1" x14ac:dyDescent="0.2">
      <c r="A79" s="89"/>
      <c r="B79" s="89"/>
      <c r="C79" s="89"/>
      <c r="D79" s="89"/>
      <c r="E79" s="102"/>
      <c r="F79" s="102"/>
      <c r="G79" s="102"/>
      <c r="H79" s="102"/>
      <c r="I79" s="102"/>
      <c r="J79" s="102"/>
      <c r="K79" s="89"/>
      <c r="L79" s="35"/>
      <c r="M79" s="35"/>
      <c r="N79" s="35"/>
      <c r="O79" s="96"/>
      <c r="P79" s="96"/>
    </row>
    <row r="80" spans="1:23" hidden="1" x14ac:dyDescent="0.2">
      <c r="A80" s="89"/>
      <c r="B80" s="89"/>
      <c r="C80" s="89"/>
      <c r="D80" s="89"/>
      <c r="E80" s="102"/>
      <c r="F80" s="102"/>
      <c r="G80" s="102"/>
      <c r="H80" s="102"/>
      <c r="I80" s="102"/>
      <c r="J80" s="102"/>
      <c r="K80" s="89"/>
      <c r="L80" s="35"/>
      <c r="M80" s="35"/>
      <c r="N80" s="35"/>
      <c r="O80" s="96"/>
      <c r="P80" s="96"/>
      <c r="Q80" s="100" t="s">
        <v>114</v>
      </c>
      <c r="T80" s="98"/>
      <c r="U80" s="98"/>
      <c r="V80" s="98"/>
      <c r="W80" s="98"/>
    </row>
    <row r="81" spans="1:23" hidden="1" x14ac:dyDescent="0.2">
      <c r="A81" s="89"/>
      <c r="B81" s="89"/>
      <c r="C81" s="89"/>
      <c r="D81" s="89"/>
      <c r="E81" s="102"/>
      <c r="F81" s="102"/>
      <c r="G81" s="102"/>
      <c r="H81" s="102"/>
      <c r="I81" s="102"/>
      <c r="J81" s="102"/>
      <c r="K81" s="89"/>
      <c r="L81" s="35"/>
      <c r="M81" s="35"/>
      <c r="N81" s="35"/>
      <c r="O81" s="96"/>
      <c r="P81" s="96"/>
      <c r="T81" s="98"/>
      <c r="U81" s="98"/>
      <c r="V81" s="98"/>
      <c r="W81" s="98"/>
    </row>
    <row r="82" spans="1:23" hidden="1" x14ac:dyDescent="0.2">
      <c r="A82" s="89"/>
      <c r="B82" s="89"/>
      <c r="C82" s="89"/>
      <c r="D82" s="89"/>
      <c r="E82" s="102"/>
      <c r="F82" s="102"/>
      <c r="G82" s="102"/>
      <c r="H82" s="102"/>
      <c r="I82" s="102"/>
      <c r="J82" s="102"/>
      <c r="K82" s="89"/>
      <c r="L82" s="35"/>
      <c r="M82" s="35"/>
      <c r="N82" s="35"/>
      <c r="O82" s="96"/>
      <c r="P82" s="96"/>
      <c r="T82" s="98"/>
      <c r="U82" s="98"/>
      <c r="V82" s="98"/>
      <c r="W82" s="98"/>
    </row>
    <row r="83" spans="1:23" hidden="1" x14ac:dyDescent="0.2">
      <c r="A83" s="89"/>
      <c r="B83" s="89"/>
      <c r="C83" s="89"/>
      <c r="D83" s="89"/>
      <c r="E83" s="102"/>
      <c r="F83" s="102"/>
      <c r="G83" s="102"/>
      <c r="H83" s="102"/>
      <c r="I83" s="102"/>
      <c r="J83" s="102"/>
      <c r="K83" s="89"/>
      <c r="L83" s="35"/>
      <c r="M83" s="35"/>
      <c r="N83" s="35"/>
      <c r="O83" s="96"/>
      <c r="P83" s="96"/>
      <c r="Q83" s="100" t="e">
        <f>IF(Q$111=100,(Q99),IF(R$111=100,(R99),IF(S$111=100,(S99),IF(T$111=100,(T99),IF(U$111=100,(U99),IF(V$111=100,(V99),IF(W$111=100,(W99),(W99))))))))</f>
        <v>#VALUE!</v>
      </c>
      <c r="R83" s="100" t="s">
        <v>124</v>
      </c>
      <c r="T83" s="98"/>
      <c r="U83" s="98"/>
      <c r="V83" s="98"/>
      <c r="W83" s="98"/>
    </row>
    <row r="84" spans="1:23" hidden="1" x14ac:dyDescent="0.2">
      <c r="A84" s="89"/>
      <c r="B84" s="89"/>
      <c r="C84" s="89"/>
      <c r="D84" s="89"/>
      <c r="E84" s="102"/>
      <c r="F84" s="102"/>
      <c r="G84" s="102"/>
      <c r="H84" s="102"/>
      <c r="I84" s="102"/>
      <c r="J84" s="102"/>
      <c r="K84" s="89"/>
      <c r="L84" s="35"/>
      <c r="M84" s="35"/>
      <c r="N84" s="35"/>
      <c r="O84" s="96"/>
      <c r="P84" s="96"/>
      <c r="Q84" s="100" t="e">
        <f t="shared" ref="Q84:Q94" si="35">IF(Q$111=100,(Q100),IF(R$111=100,(R100),IF(S$111=100,(S100),IF(T$111=100,(T100),IF(U$111=100,(U100),IF(V$111=100,(V100),IF(W$111=100,(W100),(W100))))))))</f>
        <v>#VALUE!</v>
      </c>
      <c r="R84" s="100" t="s">
        <v>125</v>
      </c>
      <c r="T84" s="98"/>
      <c r="U84" s="98"/>
      <c r="V84" s="98"/>
      <c r="W84" s="98"/>
    </row>
    <row r="85" spans="1:23" ht="15.75" thickBot="1" x14ac:dyDescent="0.25">
      <c r="A85" s="89"/>
      <c r="B85" s="89"/>
      <c r="C85" s="89"/>
      <c r="D85" s="89"/>
      <c r="E85" s="102"/>
      <c r="F85" s="102"/>
      <c r="G85" s="102"/>
      <c r="H85" s="102"/>
      <c r="I85" s="102"/>
      <c r="J85" s="102"/>
      <c r="K85" s="89"/>
      <c r="L85" s="35"/>
      <c r="M85" s="35"/>
      <c r="N85" s="35"/>
      <c r="O85" s="96"/>
      <c r="P85" s="96"/>
      <c r="Q85" s="100" t="e">
        <f t="shared" si="35"/>
        <v>#VALUE!</v>
      </c>
      <c r="R85" s="100" t="e">
        <f>LARGE(Q$99:Q$110,1)</f>
        <v>#VALUE!</v>
      </c>
      <c r="S85" s="100" t="e">
        <f>IF(Q111&lt;100,(R85+0.1),IF(Q111&gt;100,(R85-0.1),R85))</f>
        <v>#VALUE!</v>
      </c>
      <c r="T85" s="98"/>
      <c r="U85" s="98"/>
      <c r="V85" s="98"/>
      <c r="W85" s="98"/>
    </row>
    <row r="86" spans="1:23" ht="15.75" thickBot="1" x14ac:dyDescent="0.25">
      <c r="A86" s="152"/>
      <c r="B86" s="153" t="s">
        <v>151</v>
      </c>
      <c r="C86" s="154"/>
      <c r="D86" s="154"/>
      <c r="E86" s="155"/>
      <c r="F86" s="18" t="s">
        <v>81</v>
      </c>
      <c r="G86" s="19"/>
      <c r="H86" s="20" t="s">
        <v>82</v>
      </c>
      <c r="I86" s="21"/>
      <c r="J86" s="156"/>
      <c r="K86" s="157"/>
      <c r="L86" s="158"/>
      <c r="M86" s="159"/>
      <c r="N86" s="158"/>
      <c r="O86" s="160"/>
      <c r="P86" s="160"/>
      <c r="Q86" s="100" t="e">
        <f t="shared" si="35"/>
        <v>#VALUE!</v>
      </c>
      <c r="R86" s="100" t="e">
        <f>LARGE(Q$99:Q$110,2)</f>
        <v>#VALUE!</v>
      </c>
      <c r="S86" s="100" t="e">
        <f>IF(R111&lt;100,(R86+0.1),IF(R111&gt;100,(R86-0.1),R86))</f>
        <v>#VALUE!</v>
      </c>
      <c r="T86" s="98"/>
      <c r="U86" s="98"/>
      <c r="V86" s="98"/>
      <c r="W86" s="98"/>
    </row>
    <row r="87" spans="1:23" x14ac:dyDescent="0.2">
      <c r="A87" s="152"/>
      <c r="B87" s="161"/>
      <c r="C87" s="162"/>
      <c r="D87" s="163" t="s">
        <v>90</v>
      </c>
      <c r="E87" s="164"/>
      <c r="F87" s="165"/>
      <c r="G87" s="166"/>
      <c r="H87" s="166"/>
      <c r="I87" s="167"/>
      <c r="J87" s="167"/>
      <c r="K87" s="165"/>
      <c r="L87" s="158"/>
      <c r="M87" s="158"/>
      <c r="N87" s="158"/>
      <c r="O87" s="160"/>
      <c r="P87" s="160"/>
      <c r="Q87" s="100" t="e">
        <f t="shared" si="35"/>
        <v>#VALUE!</v>
      </c>
      <c r="R87" s="100" t="e">
        <f>LARGE(Q$99:Q$110,3)</f>
        <v>#VALUE!</v>
      </c>
      <c r="S87" s="100" t="e">
        <f>IF(S111&lt;100,(R87+0.1),IF(S111&gt;100,(R87-0.1),R87))</f>
        <v>#VALUE!</v>
      </c>
      <c r="T87" s="98"/>
      <c r="U87" s="98"/>
      <c r="V87" s="98"/>
      <c r="W87" s="98"/>
    </row>
    <row r="88" spans="1:23" ht="15.75" thickBot="1" x14ac:dyDescent="0.25">
      <c r="A88" s="152"/>
      <c r="B88" s="161"/>
      <c r="C88" s="162"/>
      <c r="D88" s="163" t="s">
        <v>93</v>
      </c>
      <c r="E88" s="168"/>
      <c r="F88" s="165"/>
      <c r="G88" s="120"/>
      <c r="H88" s="165" t="s">
        <v>130</v>
      </c>
      <c r="I88" s="167"/>
      <c r="J88" s="167"/>
      <c r="K88" s="165"/>
      <c r="L88" s="158"/>
      <c r="M88" s="158"/>
      <c r="N88" s="158"/>
      <c r="O88" s="160"/>
      <c r="P88" s="160"/>
      <c r="Q88" s="100" t="e">
        <f t="shared" si="35"/>
        <v>#VALUE!</v>
      </c>
      <c r="R88" s="100" t="e">
        <f>LARGE(Q$99:Q$110,4)</f>
        <v>#VALUE!</v>
      </c>
      <c r="S88" s="100" t="e">
        <f>IF(T111&lt;100,(R88+0.1),IF(T111&gt;100,(R88-0.1),R88))</f>
        <v>#VALUE!</v>
      </c>
      <c r="T88" s="98"/>
      <c r="U88" s="98"/>
      <c r="V88" s="98"/>
      <c r="W88" s="98"/>
    </row>
    <row r="89" spans="1:23" x14ac:dyDescent="0.2">
      <c r="A89" s="152"/>
      <c r="B89" s="161"/>
      <c r="C89" s="162"/>
      <c r="D89" s="163" t="s">
        <v>131</v>
      </c>
      <c r="E89" s="121"/>
      <c r="F89" s="165"/>
      <c r="G89" s="165"/>
      <c r="H89" s="165" t="s">
        <v>132</v>
      </c>
      <c r="I89" s="167"/>
      <c r="J89" s="167"/>
      <c r="K89" s="165"/>
      <c r="L89" s="158"/>
      <c r="M89" s="158"/>
      <c r="N89" s="158"/>
      <c r="O89" s="160"/>
      <c r="P89" s="160"/>
      <c r="Q89" s="100" t="e">
        <f t="shared" si="35"/>
        <v>#VALUE!</v>
      </c>
      <c r="R89" s="100" t="e">
        <f>LARGE(Q$99:Q$110,5)</f>
        <v>#VALUE!</v>
      </c>
      <c r="S89" s="100" t="e">
        <f>IF(U111&lt;100,(R89+0.1),IF(U111&gt;100,(R89-0.1),R89))</f>
        <v>#VALUE!</v>
      </c>
    </row>
    <row r="90" spans="1:23" x14ac:dyDescent="0.2">
      <c r="A90" s="152"/>
      <c r="B90" s="161"/>
      <c r="C90" s="169"/>
      <c r="D90" s="163" t="s">
        <v>133</v>
      </c>
      <c r="E90" s="121"/>
      <c r="F90" s="165"/>
      <c r="G90" s="166"/>
      <c r="H90" s="166"/>
      <c r="I90" s="167"/>
      <c r="J90" s="167"/>
      <c r="K90" s="165"/>
      <c r="L90" s="158"/>
      <c r="M90" s="158"/>
      <c r="N90" s="158"/>
      <c r="O90" s="160"/>
      <c r="P90" s="160"/>
      <c r="Q90" s="100" t="e">
        <f t="shared" si="35"/>
        <v>#VALUE!</v>
      </c>
      <c r="R90" s="100" t="e">
        <f>LARGE(Q$99:Q$110,6)</f>
        <v>#VALUE!</v>
      </c>
      <c r="S90" s="100" t="e">
        <f>IF(V111&lt;100,(R90+0.1),IF(V111&gt;100,(R90-0.1),R90))</f>
        <v>#VALUE!</v>
      </c>
    </row>
    <row r="91" spans="1:23" ht="15.75" thickBot="1" x14ac:dyDescent="0.25">
      <c r="A91" s="152"/>
      <c r="B91" s="170"/>
      <c r="C91" s="171" t="s">
        <v>99</v>
      </c>
      <c r="D91" s="172"/>
      <c r="E91" s="173" t="str">
        <f>IF(E90="","",ROUND(SUM(E89/E90),4))</f>
        <v/>
      </c>
      <c r="F91" s="165"/>
      <c r="G91" s="165"/>
      <c r="H91" s="165"/>
      <c r="I91" s="165"/>
      <c r="J91" s="165"/>
      <c r="K91" s="165"/>
      <c r="L91" s="158"/>
      <c r="M91" s="158"/>
      <c r="N91" s="158"/>
      <c r="O91" s="160"/>
      <c r="P91" s="160"/>
      <c r="Q91" s="100" t="e">
        <f t="shared" si="35"/>
        <v>#VALUE!</v>
      </c>
      <c r="R91" s="98"/>
      <c r="S91" s="98"/>
      <c r="U91" s="98"/>
      <c r="V91" s="98"/>
      <c r="W91" s="98"/>
    </row>
    <row r="92" spans="1:23" x14ac:dyDescent="0.2">
      <c r="A92" s="152"/>
      <c r="B92" s="341"/>
      <c r="C92" s="342"/>
      <c r="D92" s="54" t="s">
        <v>101</v>
      </c>
      <c r="E92" s="54" t="s">
        <v>102</v>
      </c>
      <c r="F92" s="174" t="s">
        <v>57</v>
      </c>
      <c r="G92" s="174" t="s">
        <v>57</v>
      </c>
      <c r="H92" s="175" t="s">
        <v>103</v>
      </c>
      <c r="I92" s="176"/>
      <c r="J92" s="176"/>
      <c r="K92" s="157"/>
      <c r="L92" s="158"/>
      <c r="M92" s="158"/>
      <c r="N92" s="158"/>
      <c r="O92" s="160"/>
      <c r="P92" s="160"/>
      <c r="Q92" s="100" t="e">
        <f t="shared" si="35"/>
        <v>#VALUE!</v>
      </c>
      <c r="R92" s="98"/>
      <c r="U92" s="98"/>
      <c r="V92" s="98"/>
      <c r="W92" s="98"/>
    </row>
    <row r="93" spans="1:23" x14ac:dyDescent="0.2">
      <c r="A93" s="152"/>
      <c r="B93" s="343" t="s">
        <v>110</v>
      </c>
      <c r="C93" s="344"/>
      <c r="D93" s="59" t="s">
        <v>134</v>
      </c>
      <c r="E93" s="59" t="s">
        <v>111</v>
      </c>
      <c r="F93" s="59" t="s">
        <v>112</v>
      </c>
      <c r="G93" s="59" t="s">
        <v>113</v>
      </c>
      <c r="H93" s="177" t="s">
        <v>114</v>
      </c>
      <c r="I93" s="176"/>
      <c r="J93" s="176"/>
      <c r="K93" s="152"/>
      <c r="L93" s="158"/>
      <c r="M93" s="158"/>
      <c r="N93" s="158"/>
      <c r="O93" s="160"/>
      <c r="P93" s="160"/>
      <c r="Q93" s="100" t="e">
        <f t="shared" si="35"/>
        <v>#VALUE!</v>
      </c>
      <c r="R93" s="98"/>
      <c r="S93" s="98"/>
      <c r="U93" s="98"/>
      <c r="V93" s="98"/>
      <c r="W93" s="98"/>
    </row>
    <row r="94" spans="1:23" x14ac:dyDescent="0.2">
      <c r="A94" s="152"/>
      <c r="B94" s="178" t="s">
        <v>29</v>
      </c>
      <c r="C94" s="62" t="s">
        <v>135</v>
      </c>
      <c r="D94" s="63"/>
      <c r="E94" s="64"/>
      <c r="F94" s="67" t="str">
        <f>IF(OR(E$87="",E$88=""),"",IF(E94="",0,(Q98)))</f>
        <v/>
      </c>
      <c r="G94" s="67" t="str">
        <f>IF(F108="","",100)</f>
        <v/>
      </c>
      <c r="H94" s="179" t="str">
        <f>IF(G94="","",IF(G94&gt;9.9,ROUND(G94,0),ROUND(G94,1)))</f>
        <v/>
      </c>
      <c r="I94" s="180"/>
      <c r="J94" s="180"/>
      <c r="K94" s="152"/>
      <c r="L94" s="158"/>
      <c r="M94" s="158"/>
      <c r="N94" s="158"/>
      <c r="O94" s="160"/>
      <c r="P94" s="160"/>
      <c r="Q94" s="100" t="e">
        <f t="shared" si="35"/>
        <v>#VALUE!</v>
      </c>
      <c r="R94" s="98"/>
      <c r="S94" s="98"/>
      <c r="U94" s="98"/>
      <c r="V94" s="98"/>
      <c r="W94" s="98"/>
    </row>
    <row r="95" spans="1:23" x14ac:dyDescent="0.2">
      <c r="A95" s="152"/>
      <c r="B95" s="178" t="s">
        <v>136</v>
      </c>
      <c r="C95" s="62" t="s">
        <v>137</v>
      </c>
      <c r="D95" s="63"/>
      <c r="E95" s="64"/>
      <c r="F95" s="67" t="str">
        <f t="shared" ref="F95:F106" si="36">IF(OR(E$87="",E$88=""),"",IF(E95="",0,(Q99)))</f>
        <v/>
      </c>
      <c r="G95" s="67" t="str">
        <f>IF(G94="","",SUM(G94-F95))</f>
        <v/>
      </c>
      <c r="H95" s="179" t="str">
        <f>IF(G95="","",IF(G95&gt;9.9,ROUND(G95,0),ROUND(G95,1)))</f>
        <v/>
      </c>
      <c r="I95" s="180"/>
      <c r="J95" s="180"/>
      <c r="K95" s="152"/>
      <c r="L95" s="158"/>
      <c r="M95" s="158"/>
      <c r="N95" s="158"/>
      <c r="O95" s="160"/>
      <c r="P95" s="160"/>
      <c r="Q95" s="100" t="e">
        <f>SUM(Q81:Q94)</f>
        <v>#VALUE!</v>
      </c>
      <c r="T95" s="98"/>
      <c r="U95" s="98"/>
      <c r="V95" s="98"/>
      <c r="W95" s="98"/>
    </row>
    <row r="96" spans="1:23" x14ac:dyDescent="0.2">
      <c r="A96" s="152"/>
      <c r="B96" s="178" t="s">
        <v>31</v>
      </c>
      <c r="C96" s="62" t="s">
        <v>138</v>
      </c>
      <c r="D96" s="63"/>
      <c r="E96" s="64"/>
      <c r="F96" s="67" t="str">
        <f t="shared" si="36"/>
        <v/>
      </c>
      <c r="G96" s="67" t="str">
        <f t="shared" ref="G96:G103" si="37">IF(G95="","",SUM(G95-F96))</f>
        <v/>
      </c>
      <c r="H96" s="179" t="str">
        <f>IF(G96="","",IF(G96&gt;9.9,ROUND(G96,0),ROUND(G96,1)))</f>
        <v/>
      </c>
      <c r="I96" s="180"/>
      <c r="J96" s="180"/>
      <c r="K96" s="152"/>
      <c r="L96" s="158"/>
      <c r="M96" s="158"/>
      <c r="N96" s="158"/>
      <c r="O96" s="160"/>
      <c r="P96" s="160"/>
      <c r="Q96" s="100" t="s">
        <v>57</v>
      </c>
    </row>
    <row r="97" spans="1:23" x14ac:dyDescent="0.2">
      <c r="A97" s="152"/>
      <c r="B97" s="178" t="s">
        <v>32</v>
      </c>
      <c r="C97" s="62" t="s">
        <v>139</v>
      </c>
      <c r="D97" s="63"/>
      <c r="E97" s="64"/>
      <c r="F97" s="67" t="str">
        <f t="shared" si="36"/>
        <v/>
      </c>
      <c r="G97" s="67" t="str">
        <f t="shared" si="37"/>
        <v/>
      </c>
      <c r="H97" s="179" t="str">
        <f>IF(G97="","",IF(G97&gt;9.9,ROUND(G97,0),ROUND(G97,1)))</f>
        <v/>
      </c>
      <c r="I97" s="180"/>
      <c r="J97" s="180"/>
      <c r="K97" s="152"/>
      <c r="L97" s="158"/>
      <c r="M97" s="158"/>
      <c r="N97" s="158"/>
      <c r="O97" s="160"/>
      <c r="P97" s="160"/>
      <c r="Q97" s="100" t="s">
        <v>112</v>
      </c>
    </row>
    <row r="98" spans="1:23" x14ac:dyDescent="0.2">
      <c r="A98" s="152"/>
      <c r="B98" s="178" t="s">
        <v>33</v>
      </c>
      <c r="C98" s="62" t="s">
        <v>140</v>
      </c>
      <c r="D98" s="63"/>
      <c r="E98" s="64"/>
      <c r="F98" s="67" t="str">
        <f t="shared" si="36"/>
        <v/>
      </c>
      <c r="G98" s="67" t="str">
        <f t="shared" si="37"/>
        <v/>
      </c>
      <c r="H98" s="179" t="str">
        <f t="shared" ref="H98:H105" si="38">IF(G98="","",IF(G98&gt;9.9,ROUND(G98,0),ROUND(G98,1)))</f>
        <v/>
      </c>
      <c r="I98" s="180"/>
      <c r="J98" s="180"/>
      <c r="K98" s="152"/>
      <c r="L98" s="158"/>
      <c r="M98" s="158"/>
      <c r="N98" s="158"/>
      <c r="O98" s="160"/>
      <c r="P98" s="160"/>
      <c r="Q98" s="100" t="e">
        <f>ROUND(IF(E94="","",SUM(E94/$E$87)*100),1)</f>
        <v>#VALUE!</v>
      </c>
      <c r="R98" s="100" t="s">
        <v>120</v>
      </c>
      <c r="S98" s="100">
        <v>2</v>
      </c>
      <c r="T98" s="100" t="s">
        <v>121</v>
      </c>
      <c r="U98" s="100" t="s">
        <v>122</v>
      </c>
      <c r="V98" s="100" t="s">
        <v>123</v>
      </c>
      <c r="W98" s="100">
        <v>6</v>
      </c>
    </row>
    <row r="99" spans="1:23" x14ac:dyDescent="0.2">
      <c r="A99" s="152"/>
      <c r="B99" s="178" t="s">
        <v>141</v>
      </c>
      <c r="C99" s="62" t="s">
        <v>142</v>
      </c>
      <c r="D99" s="63"/>
      <c r="E99" s="64"/>
      <c r="F99" s="67" t="str">
        <f t="shared" si="36"/>
        <v/>
      </c>
      <c r="G99" s="67" t="str">
        <f t="shared" si="37"/>
        <v/>
      </c>
      <c r="H99" s="179" t="str">
        <f t="shared" si="38"/>
        <v/>
      </c>
      <c r="I99" s="180"/>
      <c r="J99" s="180"/>
      <c r="K99" s="152"/>
      <c r="L99" s="158"/>
      <c r="M99" s="158"/>
      <c r="N99" s="158"/>
      <c r="O99" s="160"/>
      <c r="P99" s="160"/>
      <c r="Q99" s="100" t="e">
        <f t="shared" ref="Q99:Q109" si="39">ROUND(IF(E95="","",SUM(E95/$E$87)*100),1)</f>
        <v>#VALUE!</v>
      </c>
      <c r="R99" s="100" t="e">
        <f>ROUND(IF(Q99=R$85,S$85,Q99),1)</f>
        <v>#VALUE!</v>
      </c>
      <c r="S99" s="100" t="e">
        <f>ROUND(IF(R99=R$86,S$86,R99),1)</f>
        <v>#VALUE!</v>
      </c>
      <c r="T99" s="100" t="e">
        <f>ROUND(IF(S99=R$87,S$87,S99),1)</f>
        <v>#VALUE!</v>
      </c>
      <c r="U99" s="100" t="e">
        <f>ROUND(IF(T99=R$88,S$88,T99),1)</f>
        <v>#VALUE!</v>
      </c>
      <c r="V99" s="100" t="e">
        <f>ROUND(IF(U99=R$89,S$89,U99),1)</f>
        <v>#VALUE!</v>
      </c>
      <c r="W99" s="100" t="e">
        <f>ROUND(IF(V99=R$90,S$90,V99),1)</f>
        <v>#VALUE!</v>
      </c>
    </row>
    <row r="100" spans="1:23" x14ac:dyDescent="0.2">
      <c r="A100" s="152"/>
      <c r="B100" s="178" t="s">
        <v>143</v>
      </c>
      <c r="C100" s="62" t="s">
        <v>144</v>
      </c>
      <c r="D100" s="181"/>
      <c r="E100" s="64"/>
      <c r="F100" s="67" t="str">
        <f t="shared" si="36"/>
        <v/>
      </c>
      <c r="G100" s="67" t="str">
        <f t="shared" si="37"/>
        <v/>
      </c>
      <c r="H100" s="179" t="str">
        <f t="shared" si="38"/>
        <v/>
      </c>
      <c r="I100" s="180"/>
      <c r="J100" s="180"/>
      <c r="K100" s="152"/>
      <c r="L100" s="158"/>
      <c r="M100" s="158"/>
      <c r="N100" s="158"/>
      <c r="O100" s="160"/>
      <c r="P100" s="160"/>
      <c r="Q100" s="100" t="e">
        <f t="shared" si="39"/>
        <v>#VALUE!</v>
      </c>
      <c r="R100" s="100" t="e">
        <f t="shared" ref="R100:R110" si="40">ROUND(IF(Q100=R$85,S$85,Q100),1)</f>
        <v>#VALUE!</v>
      </c>
      <c r="S100" s="100" t="e">
        <f t="shared" ref="S100:S110" si="41">ROUND(IF(R100=R$86,S$86,R100),1)</f>
        <v>#VALUE!</v>
      </c>
      <c r="T100" s="100" t="e">
        <f t="shared" ref="T100:T110" si="42">ROUND(IF(S100=R$87,S$87,S100),1)</f>
        <v>#VALUE!</v>
      </c>
      <c r="U100" s="100" t="e">
        <f t="shared" ref="U100:U110" si="43">ROUND(IF(T100=R$88,S$88,T100),1)</f>
        <v>#VALUE!</v>
      </c>
      <c r="V100" s="100" t="e">
        <f t="shared" ref="V100:V110" si="44">ROUND(IF(U100=R$89,S$89,U100),1)</f>
        <v>#VALUE!</v>
      </c>
      <c r="W100" s="100" t="e">
        <f t="shared" ref="W100:W110" si="45">ROUND(IF(V100=R$90,S$90,V100),1)</f>
        <v>#VALUE!</v>
      </c>
    </row>
    <row r="101" spans="1:23" x14ac:dyDescent="0.2">
      <c r="A101" s="152"/>
      <c r="B101" s="178" t="s">
        <v>145</v>
      </c>
      <c r="C101" s="62" t="s">
        <v>146</v>
      </c>
      <c r="D101" s="181"/>
      <c r="E101" s="64"/>
      <c r="F101" s="67" t="str">
        <f t="shared" si="36"/>
        <v/>
      </c>
      <c r="G101" s="67" t="str">
        <f t="shared" si="37"/>
        <v/>
      </c>
      <c r="H101" s="179" t="str">
        <f t="shared" si="38"/>
        <v/>
      </c>
      <c r="I101" s="180"/>
      <c r="J101" s="180"/>
      <c r="K101" s="152"/>
      <c r="L101" s="158"/>
      <c r="M101" s="158"/>
      <c r="N101" s="158"/>
      <c r="O101" s="160"/>
      <c r="P101" s="160"/>
      <c r="Q101" s="100" t="e">
        <f t="shared" si="39"/>
        <v>#VALUE!</v>
      </c>
      <c r="R101" s="100" t="e">
        <f t="shared" si="40"/>
        <v>#VALUE!</v>
      </c>
      <c r="S101" s="100" t="e">
        <f t="shared" si="41"/>
        <v>#VALUE!</v>
      </c>
      <c r="T101" s="100" t="e">
        <f t="shared" si="42"/>
        <v>#VALUE!</v>
      </c>
      <c r="U101" s="100" t="e">
        <f t="shared" si="43"/>
        <v>#VALUE!</v>
      </c>
      <c r="V101" s="100" t="e">
        <f t="shared" si="44"/>
        <v>#VALUE!</v>
      </c>
      <c r="W101" s="100" t="e">
        <f t="shared" si="45"/>
        <v>#VALUE!</v>
      </c>
    </row>
    <row r="102" spans="1:23" x14ac:dyDescent="0.2">
      <c r="A102" s="152"/>
      <c r="B102" s="178" t="s">
        <v>147</v>
      </c>
      <c r="C102" s="62" t="str">
        <f>"600 "&amp;CHAR(181)&amp;"m"</f>
        <v>600 µm</v>
      </c>
      <c r="D102" s="181"/>
      <c r="E102" s="64"/>
      <c r="F102" s="67" t="str">
        <f t="shared" si="36"/>
        <v/>
      </c>
      <c r="G102" s="67" t="str">
        <f t="shared" si="37"/>
        <v/>
      </c>
      <c r="H102" s="179" t="str">
        <f t="shared" si="38"/>
        <v/>
      </c>
      <c r="I102" s="180"/>
      <c r="J102" s="180"/>
      <c r="K102" s="152"/>
      <c r="L102" s="158"/>
      <c r="M102" s="158"/>
      <c r="N102" s="158"/>
      <c r="O102" s="160"/>
      <c r="P102" s="160"/>
      <c r="Q102" s="100" t="e">
        <f t="shared" si="39"/>
        <v>#VALUE!</v>
      </c>
      <c r="R102" s="100" t="e">
        <f t="shared" si="40"/>
        <v>#VALUE!</v>
      </c>
      <c r="S102" s="100" t="e">
        <f t="shared" si="41"/>
        <v>#VALUE!</v>
      </c>
      <c r="T102" s="100" t="e">
        <f t="shared" si="42"/>
        <v>#VALUE!</v>
      </c>
      <c r="U102" s="100" t="e">
        <f t="shared" si="43"/>
        <v>#VALUE!</v>
      </c>
      <c r="V102" s="100" t="e">
        <f t="shared" si="44"/>
        <v>#VALUE!</v>
      </c>
      <c r="W102" s="100" t="e">
        <f t="shared" si="45"/>
        <v>#VALUE!</v>
      </c>
    </row>
    <row r="103" spans="1:23" x14ac:dyDescent="0.2">
      <c r="A103" s="152"/>
      <c r="B103" s="178" t="s">
        <v>148</v>
      </c>
      <c r="C103" s="62" t="str">
        <f>"300 "&amp;CHAR(181)&amp;"m"</f>
        <v>300 µm</v>
      </c>
      <c r="D103" s="181"/>
      <c r="E103" s="64"/>
      <c r="F103" s="67" t="str">
        <f t="shared" si="36"/>
        <v/>
      </c>
      <c r="G103" s="67" t="str">
        <f t="shared" si="37"/>
        <v/>
      </c>
      <c r="H103" s="179" t="str">
        <f t="shared" si="38"/>
        <v/>
      </c>
      <c r="I103" s="180"/>
      <c r="J103" s="180"/>
      <c r="K103" s="152"/>
      <c r="L103" s="158"/>
      <c r="M103" s="158"/>
      <c r="N103" s="158"/>
      <c r="O103" s="160"/>
      <c r="P103" s="160"/>
      <c r="Q103" s="100" t="e">
        <f t="shared" si="39"/>
        <v>#VALUE!</v>
      </c>
      <c r="R103" s="100" t="e">
        <f t="shared" si="40"/>
        <v>#VALUE!</v>
      </c>
      <c r="S103" s="100" t="e">
        <f t="shared" si="41"/>
        <v>#VALUE!</v>
      </c>
      <c r="T103" s="100" t="e">
        <f t="shared" si="42"/>
        <v>#VALUE!</v>
      </c>
      <c r="U103" s="100" t="e">
        <f t="shared" si="43"/>
        <v>#VALUE!</v>
      </c>
      <c r="V103" s="100" t="e">
        <f t="shared" si="44"/>
        <v>#VALUE!</v>
      </c>
      <c r="W103" s="100" t="e">
        <f t="shared" si="45"/>
        <v>#VALUE!</v>
      </c>
    </row>
    <row r="104" spans="1:23" x14ac:dyDescent="0.2">
      <c r="A104" s="152"/>
      <c r="B104" s="178" t="s">
        <v>149</v>
      </c>
      <c r="C104" s="62" t="str">
        <f>"150 "&amp;CHAR(181)&amp;"m"</f>
        <v>150 µm</v>
      </c>
      <c r="D104" s="181"/>
      <c r="E104" s="64"/>
      <c r="F104" s="67" t="str">
        <f t="shared" si="36"/>
        <v/>
      </c>
      <c r="G104" s="67" t="str">
        <f>IF(G103="","",SUM(G103-F104))</f>
        <v/>
      </c>
      <c r="H104" s="179" t="str">
        <f t="shared" si="38"/>
        <v/>
      </c>
      <c r="I104" s="180"/>
      <c r="J104" s="180"/>
      <c r="K104" s="152"/>
      <c r="L104" s="158"/>
      <c r="M104" s="158"/>
      <c r="N104" s="158"/>
      <c r="O104" s="160"/>
      <c r="P104" s="160"/>
      <c r="Q104" s="100" t="e">
        <f t="shared" si="39"/>
        <v>#VALUE!</v>
      </c>
      <c r="R104" s="100" t="e">
        <f t="shared" si="40"/>
        <v>#VALUE!</v>
      </c>
      <c r="S104" s="100" t="e">
        <f t="shared" si="41"/>
        <v>#VALUE!</v>
      </c>
      <c r="T104" s="100" t="e">
        <f t="shared" si="42"/>
        <v>#VALUE!</v>
      </c>
      <c r="U104" s="100" t="e">
        <f t="shared" si="43"/>
        <v>#VALUE!</v>
      </c>
      <c r="V104" s="100" t="e">
        <f t="shared" si="44"/>
        <v>#VALUE!</v>
      </c>
      <c r="W104" s="100" t="e">
        <f t="shared" si="45"/>
        <v>#VALUE!</v>
      </c>
    </row>
    <row r="105" spans="1:23" ht="15.75" thickBot="1" x14ac:dyDescent="0.25">
      <c r="A105" s="152"/>
      <c r="B105" s="178" t="s">
        <v>150</v>
      </c>
      <c r="C105" s="62" t="str">
        <f>"75 "&amp;CHAR(181)&amp;"m"</f>
        <v>75 µm</v>
      </c>
      <c r="D105" s="181"/>
      <c r="E105" s="64"/>
      <c r="F105" s="67" t="str">
        <f t="shared" si="36"/>
        <v/>
      </c>
      <c r="G105" s="182" t="str">
        <f>IF(G104="","",SUM(G104-F105))</f>
        <v/>
      </c>
      <c r="H105" s="183" t="str">
        <f t="shared" si="38"/>
        <v/>
      </c>
      <c r="I105" s="180"/>
      <c r="J105" s="180"/>
      <c r="K105" s="152"/>
      <c r="L105" s="158"/>
      <c r="M105" s="158"/>
      <c r="N105" s="158"/>
      <c r="O105" s="160"/>
      <c r="P105" s="160"/>
      <c r="Q105" s="100" t="e">
        <f t="shared" si="39"/>
        <v>#VALUE!</v>
      </c>
      <c r="R105" s="100" t="e">
        <f t="shared" si="40"/>
        <v>#VALUE!</v>
      </c>
      <c r="S105" s="100" t="e">
        <f t="shared" si="41"/>
        <v>#VALUE!</v>
      </c>
      <c r="T105" s="100" t="e">
        <f t="shared" si="42"/>
        <v>#VALUE!</v>
      </c>
      <c r="U105" s="100" t="e">
        <f t="shared" si="43"/>
        <v>#VALUE!</v>
      </c>
      <c r="V105" s="100" t="e">
        <f t="shared" si="44"/>
        <v>#VALUE!</v>
      </c>
      <c r="W105" s="100" t="e">
        <f t="shared" si="45"/>
        <v>#VALUE!</v>
      </c>
    </row>
    <row r="106" spans="1:23" ht="15.75" thickBot="1" x14ac:dyDescent="0.25">
      <c r="A106" s="152"/>
      <c r="B106" s="345" t="s">
        <v>126</v>
      </c>
      <c r="C106" s="346"/>
      <c r="D106" s="181"/>
      <c r="E106" s="64"/>
      <c r="F106" s="67" t="str">
        <f t="shared" si="36"/>
        <v/>
      </c>
      <c r="G106" s="184"/>
      <c r="H106" s="184"/>
      <c r="I106" s="185"/>
      <c r="J106" s="185"/>
      <c r="K106" s="152"/>
      <c r="L106" s="158"/>
      <c r="M106" s="158"/>
      <c r="N106" s="158"/>
      <c r="O106" s="160"/>
      <c r="P106" s="160"/>
      <c r="Q106" s="100" t="e">
        <f t="shared" si="39"/>
        <v>#VALUE!</v>
      </c>
      <c r="R106" s="100" t="e">
        <f t="shared" si="40"/>
        <v>#VALUE!</v>
      </c>
      <c r="S106" s="100" t="e">
        <f t="shared" si="41"/>
        <v>#VALUE!</v>
      </c>
      <c r="T106" s="100" t="e">
        <f t="shared" si="42"/>
        <v>#VALUE!</v>
      </c>
      <c r="U106" s="100" t="e">
        <f t="shared" si="43"/>
        <v>#VALUE!</v>
      </c>
      <c r="V106" s="100" t="e">
        <f t="shared" si="44"/>
        <v>#VALUE!</v>
      </c>
      <c r="W106" s="100" t="e">
        <f t="shared" si="45"/>
        <v>#VALUE!</v>
      </c>
    </row>
    <row r="107" spans="1:23" ht="15.75" thickBot="1" x14ac:dyDescent="0.25">
      <c r="A107" s="152"/>
      <c r="B107" s="345" t="s">
        <v>127</v>
      </c>
      <c r="C107" s="346"/>
      <c r="D107" s="63"/>
      <c r="E107" s="186" t="str">
        <f>IF(E88="","",SUM(E87-E88))</f>
        <v/>
      </c>
      <c r="F107" s="187"/>
      <c r="G107" s="184"/>
      <c r="H107" s="157"/>
      <c r="I107" s="157"/>
      <c r="J107" s="157"/>
      <c r="K107" s="152"/>
      <c r="L107" s="158"/>
      <c r="M107" s="158"/>
      <c r="N107" s="158"/>
      <c r="O107" s="160"/>
      <c r="P107" s="160"/>
      <c r="Q107" s="100" t="e">
        <f t="shared" si="39"/>
        <v>#VALUE!</v>
      </c>
      <c r="R107" s="100" t="e">
        <f t="shared" si="40"/>
        <v>#VALUE!</v>
      </c>
      <c r="S107" s="100" t="e">
        <f t="shared" si="41"/>
        <v>#VALUE!</v>
      </c>
      <c r="T107" s="100" t="e">
        <f t="shared" si="42"/>
        <v>#VALUE!</v>
      </c>
      <c r="U107" s="100" t="e">
        <f t="shared" si="43"/>
        <v>#VALUE!</v>
      </c>
      <c r="V107" s="100" t="e">
        <f t="shared" si="44"/>
        <v>#VALUE!</v>
      </c>
      <c r="W107" s="100" t="e">
        <f t="shared" si="45"/>
        <v>#VALUE!</v>
      </c>
    </row>
    <row r="108" spans="1:23" ht="15.75" thickBot="1" x14ac:dyDescent="0.25">
      <c r="A108" s="152"/>
      <c r="B108" s="345" t="s">
        <v>128</v>
      </c>
      <c r="C108" s="346"/>
      <c r="D108" s="188" t="str">
        <f>IF(D106="","",SUM(D100:D106))</f>
        <v/>
      </c>
      <c r="E108" s="188" t="str">
        <f>IF(E106="","",SUM(E94:E107))</f>
        <v/>
      </c>
      <c r="F108" s="189" t="str">
        <f>IF(F106="","",SUM(F94:F106))</f>
        <v/>
      </c>
      <c r="G108" s="190"/>
      <c r="H108" s="157"/>
      <c r="I108" s="157"/>
      <c r="J108" s="157"/>
      <c r="K108" s="157"/>
      <c r="L108" s="158"/>
      <c r="M108" s="158"/>
      <c r="N108" s="158"/>
      <c r="O108" s="160"/>
      <c r="P108" s="160"/>
      <c r="Q108" s="100" t="e">
        <f t="shared" si="39"/>
        <v>#VALUE!</v>
      </c>
      <c r="R108" s="100" t="e">
        <f t="shared" si="40"/>
        <v>#VALUE!</v>
      </c>
      <c r="S108" s="100" t="e">
        <f t="shared" si="41"/>
        <v>#VALUE!</v>
      </c>
      <c r="T108" s="100" t="e">
        <f t="shared" si="42"/>
        <v>#VALUE!</v>
      </c>
      <c r="U108" s="100" t="e">
        <f t="shared" si="43"/>
        <v>#VALUE!</v>
      </c>
      <c r="V108" s="100" t="e">
        <f t="shared" si="44"/>
        <v>#VALUE!</v>
      </c>
      <c r="W108" s="100" t="e">
        <f t="shared" si="45"/>
        <v>#VALUE!</v>
      </c>
    </row>
    <row r="109" spans="1:23" ht="15.75" thickBot="1" x14ac:dyDescent="0.25">
      <c r="A109" s="152"/>
      <c r="B109" s="336" t="s">
        <v>129</v>
      </c>
      <c r="C109" s="337"/>
      <c r="D109" s="182" t="str">
        <f>IF(D108="","",ROUND((SUM(D108/E90)*100),1))</f>
        <v/>
      </c>
      <c r="E109" s="191" t="str">
        <f>IF(E108="","",ROUND((SUM(E108/E87)*100),1))</f>
        <v/>
      </c>
      <c r="F109" s="192"/>
      <c r="G109" s="157"/>
      <c r="H109" s="157"/>
      <c r="I109" s="157"/>
      <c r="J109" s="157"/>
      <c r="K109" s="157"/>
      <c r="L109" s="158"/>
      <c r="M109" s="158"/>
      <c r="N109" s="158"/>
      <c r="O109" s="160"/>
      <c r="P109" s="160"/>
      <c r="Q109" s="100" t="e">
        <f t="shared" si="39"/>
        <v>#VALUE!</v>
      </c>
      <c r="R109" s="100" t="e">
        <f t="shared" si="40"/>
        <v>#VALUE!</v>
      </c>
      <c r="S109" s="100" t="e">
        <f t="shared" si="41"/>
        <v>#VALUE!</v>
      </c>
      <c r="T109" s="100" t="e">
        <f t="shared" si="42"/>
        <v>#VALUE!</v>
      </c>
      <c r="U109" s="100" t="e">
        <f t="shared" si="43"/>
        <v>#VALUE!</v>
      </c>
      <c r="V109" s="100" t="e">
        <f t="shared" si="44"/>
        <v>#VALUE!</v>
      </c>
      <c r="W109" s="100" t="e">
        <f t="shared" si="45"/>
        <v>#VALUE!</v>
      </c>
    </row>
    <row r="110" spans="1:23" x14ac:dyDescent="0.2">
      <c r="A110" s="152"/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  <c r="L110" s="158"/>
      <c r="M110" s="159"/>
      <c r="N110" s="158"/>
      <c r="O110" s="160"/>
      <c r="P110" s="160"/>
      <c r="Q110" s="100" t="e">
        <f>ROUND(IF(E106="","",SUM((E106+E107)/$E$87)*100),1)</f>
        <v>#VALUE!</v>
      </c>
      <c r="R110" s="100" t="e">
        <f t="shared" si="40"/>
        <v>#VALUE!</v>
      </c>
      <c r="S110" s="100" t="e">
        <f t="shared" si="41"/>
        <v>#VALUE!</v>
      </c>
      <c r="T110" s="100" t="e">
        <f t="shared" si="42"/>
        <v>#VALUE!</v>
      </c>
      <c r="U110" s="100" t="e">
        <f t="shared" si="43"/>
        <v>#VALUE!</v>
      </c>
      <c r="V110" s="100" t="e">
        <f t="shared" si="44"/>
        <v>#VALUE!</v>
      </c>
      <c r="W110" s="100" t="e">
        <f t="shared" si="45"/>
        <v>#VALUE!</v>
      </c>
    </row>
    <row r="111" spans="1:23" x14ac:dyDescent="0.2">
      <c r="A111" s="152"/>
      <c r="B111" s="152"/>
      <c r="C111" s="152"/>
      <c r="D111" s="152"/>
      <c r="E111" s="152"/>
      <c r="F111" s="152"/>
      <c r="G111" s="338"/>
      <c r="H111" s="338"/>
      <c r="I111" s="338"/>
      <c r="J111" s="338"/>
      <c r="K111" s="338"/>
      <c r="L111" s="158"/>
      <c r="M111" s="159"/>
      <c r="N111" s="158"/>
      <c r="O111" s="160"/>
      <c r="P111" s="160"/>
      <c r="Q111" s="100" t="e">
        <f>ROUND(SUM(Q98:Q110),1)</f>
        <v>#VALUE!</v>
      </c>
      <c r="R111" s="100" t="e">
        <f t="shared" ref="R111:W111" si="46">ROUND(IF(R110="","",SUM(R99:R110)),1)</f>
        <v>#VALUE!</v>
      </c>
      <c r="S111" s="100" t="e">
        <f t="shared" si="46"/>
        <v>#VALUE!</v>
      </c>
      <c r="T111" s="100" t="e">
        <f t="shared" si="46"/>
        <v>#VALUE!</v>
      </c>
      <c r="U111" s="100" t="e">
        <f t="shared" si="46"/>
        <v>#VALUE!</v>
      </c>
      <c r="V111" s="100" t="e">
        <f t="shared" si="46"/>
        <v>#VALUE!</v>
      </c>
      <c r="W111" s="100" t="e">
        <f t="shared" si="46"/>
        <v>#VALUE!</v>
      </c>
    </row>
    <row r="112" spans="1:23" x14ac:dyDescent="0.2">
      <c r="A112" s="152"/>
      <c r="B112" s="152"/>
      <c r="C112" s="152"/>
      <c r="D112" s="152"/>
      <c r="E112" s="152"/>
      <c r="F112" s="152"/>
      <c r="G112" s="338"/>
      <c r="H112" s="338"/>
      <c r="I112" s="338"/>
      <c r="J112" s="338"/>
      <c r="K112" s="338"/>
      <c r="L112" s="158"/>
      <c r="M112" s="158"/>
      <c r="N112" s="158"/>
      <c r="O112" s="160"/>
      <c r="P112" s="160"/>
      <c r="Q112" s="98"/>
      <c r="R112" s="98"/>
      <c r="S112" s="98"/>
      <c r="T112" s="98"/>
      <c r="U112" s="98"/>
      <c r="V112" s="98"/>
      <c r="W112" s="98"/>
    </row>
  </sheetData>
  <sheetProtection algorithmName="SHA-512" hashValue="z5h+AUkFUfV1e4yWLR+T2as6ZtOBWXvjmJAylmmSZSwp2DfbhPrxkbagV35IW5n0yPSQKFH0nwO74P3IsR+EPQ==" saltValue="4t4jghvX55q7EHJyhuYQ5Q==" spinCount="100000" sheet="1" objects="1" scenarios="1"/>
  <mergeCells count="20">
    <mergeCell ref="B109:C109"/>
    <mergeCell ref="G111:K112"/>
    <mergeCell ref="B58:C58"/>
    <mergeCell ref="B92:C92"/>
    <mergeCell ref="B93:C93"/>
    <mergeCell ref="B106:C106"/>
    <mergeCell ref="B107:C107"/>
    <mergeCell ref="B108:C108"/>
    <mergeCell ref="B57:C57"/>
    <mergeCell ref="A1:E1"/>
    <mergeCell ref="I3:K3"/>
    <mergeCell ref="I4:K4"/>
    <mergeCell ref="I5:K5"/>
    <mergeCell ref="I6:K6"/>
    <mergeCell ref="B31:C31"/>
    <mergeCell ref="B32:C32"/>
    <mergeCell ref="B41:C41"/>
    <mergeCell ref="B42:C42"/>
    <mergeCell ref="B55:C55"/>
    <mergeCell ref="B56:C56"/>
  </mergeCells>
  <dataValidations count="2">
    <dataValidation type="list" allowBlank="1" showInputMessage="1" showErrorMessage="1" sqref="L1" xr:uid="{F70758B9-74C5-4265-9EE6-BB800ECFB155}">
      <formula1>$O$1:$O$2</formula1>
    </dataValidation>
    <dataValidation type="decimal" allowBlank="1" showInputMessage="1" showErrorMessage="1" error="Must be numerical" sqref="I9:I20" xr:uid="{F12CF988-EC76-4E98-B549-9B01A3AE9222}">
      <formula1>0</formula1>
      <formula2>100</formula2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307D2-6B76-4CAF-8D36-EE2445E7E2FB}">
  <dimension ref="A1:AG112"/>
  <sheetViews>
    <sheetView showRowColHeaders="0" workbookViewId="0">
      <selection activeCell="E4" sqref="E4"/>
    </sheetView>
  </sheetViews>
  <sheetFormatPr defaultRowHeight="15" x14ac:dyDescent="0.2"/>
  <cols>
    <col min="1" max="7" width="9.140625" style="27"/>
    <col min="8" max="8" width="12.85546875" style="27" customWidth="1"/>
    <col min="9" max="9" width="13.42578125" style="27" customWidth="1"/>
    <col min="10" max="10" width="12.7109375" style="27" customWidth="1"/>
    <col min="11" max="11" width="12.5703125" style="27" customWidth="1"/>
    <col min="12" max="12" width="11.7109375" style="27" customWidth="1"/>
    <col min="13" max="14" width="11.42578125" style="61" hidden="1" customWidth="1"/>
    <col min="15" max="30" width="11.42578125" style="207" hidden="1" customWidth="1"/>
    <col min="31" max="31" width="11.42578125" style="61" hidden="1" customWidth="1"/>
    <col min="32" max="16384" width="9.140625" style="27"/>
  </cols>
  <sheetData>
    <row r="1" spans="1:33" ht="16.5" thickBot="1" x14ac:dyDescent="0.3">
      <c r="A1" s="321" t="s">
        <v>80</v>
      </c>
      <c r="B1" s="322"/>
      <c r="C1" s="322"/>
      <c r="D1" s="322"/>
      <c r="E1" s="323"/>
      <c r="F1" s="18" t="s">
        <v>81</v>
      </c>
      <c r="G1" s="19"/>
      <c r="H1" s="20" t="s">
        <v>82</v>
      </c>
      <c r="I1" s="21"/>
      <c r="J1" s="22"/>
      <c r="K1" s="18" t="s">
        <v>83</v>
      </c>
      <c r="L1" s="19" t="s">
        <v>84</v>
      </c>
      <c r="M1" s="55"/>
      <c r="N1" s="55"/>
      <c r="O1" s="55" t="s">
        <v>84</v>
      </c>
      <c r="P1" s="55"/>
      <c r="Q1" s="55"/>
      <c r="R1" s="193"/>
      <c r="S1" s="193"/>
      <c r="T1" s="193"/>
      <c r="U1" s="193"/>
      <c r="V1" s="193"/>
      <c r="W1" s="193"/>
      <c r="X1" s="193"/>
      <c r="Y1" s="193"/>
      <c r="Z1" s="193" t="s">
        <v>85</v>
      </c>
      <c r="AA1" s="193" t="s">
        <v>86</v>
      </c>
      <c r="AB1" s="193" t="s">
        <v>87</v>
      </c>
      <c r="AC1" s="193" t="s">
        <v>88</v>
      </c>
      <c r="AD1" s="193" t="s">
        <v>89</v>
      </c>
    </row>
    <row r="2" spans="1:33" x14ac:dyDescent="0.2">
      <c r="A2" s="28" t="s">
        <v>90</v>
      </c>
      <c r="B2" s="29"/>
      <c r="C2" s="30"/>
      <c r="D2" s="31"/>
      <c r="E2" s="32"/>
      <c r="F2" s="32"/>
      <c r="G2" s="33"/>
      <c r="H2" s="31"/>
      <c r="I2" s="31"/>
      <c r="J2" s="31"/>
      <c r="K2" s="34"/>
      <c r="L2" s="34"/>
      <c r="M2" s="55"/>
      <c r="N2" s="55"/>
      <c r="O2" s="55" t="s">
        <v>91</v>
      </c>
      <c r="P2" s="74"/>
      <c r="Q2" s="74"/>
      <c r="R2" s="194"/>
      <c r="S2" s="194"/>
      <c r="T2" s="194"/>
      <c r="U2" s="194"/>
      <c r="V2" s="193"/>
      <c r="W2" s="193"/>
      <c r="X2" s="193" t="s">
        <v>92</v>
      </c>
      <c r="Y2" s="195">
        <f>(100-L3-L5)/100</f>
        <v>1</v>
      </c>
      <c r="Z2" s="196">
        <f>AA2/AA$5</f>
        <v>1</v>
      </c>
      <c r="AA2" s="195">
        <f>IF(AND(L3="",L5=""),100,Y2)</f>
        <v>100</v>
      </c>
      <c r="AB2" s="193"/>
      <c r="AC2" s="193"/>
      <c r="AD2" s="193"/>
    </row>
    <row r="3" spans="1:33" ht="15.75" thickBot="1" x14ac:dyDescent="0.25">
      <c r="A3" s="40" t="s">
        <v>93</v>
      </c>
      <c r="B3" s="41"/>
      <c r="C3" s="42"/>
      <c r="D3" s="31"/>
      <c r="E3" s="43"/>
      <c r="F3" s="31" t="s">
        <v>94</v>
      </c>
      <c r="G3" s="33"/>
      <c r="H3" s="31"/>
      <c r="I3" s="324" t="str">
        <f>CONCATENATE("% RAP Used (From ",MONTH(I1),"/",DAY(I1),"/",YEAR(I1)," Plant Report)")</f>
        <v>% RAP Used (From 1/0/1900 Plant Report)</v>
      </c>
      <c r="J3" s="325"/>
      <c r="K3" s="326"/>
      <c r="L3" s="44"/>
      <c r="M3" s="55"/>
      <c r="N3" s="55"/>
      <c r="O3" s="55"/>
      <c r="P3" s="74"/>
      <c r="Q3" s="74"/>
      <c r="R3" s="194"/>
      <c r="S3" s="194"/>
      <c r="T3" s="194"/>
      <c r="U3" s="194"/>
      <c r="V3" s="193"/>
      <c r="W3" s="193"/>
      <c r="X3" s="193" t="s">
        <v>95</v>
      </c>
      <c r="Y3" s="196">
        <f>L5/100</f>
        <v>0</v>
      </c>
      <c r="Z3" s="196">
        <f>AA3/AA$5</f>
        <v>0</v>
      </c>
      <c r="AA3" s="196">
        <f>Y3*AB3</f>
        <v>0</v>
      </c>
      <c r="AB3" s="196">
        <f>1-AC3-AD3-AE3</f>
        <v>0.9</v>
      </c>
      <c r="AC3" s="196">
        <f>L6*0.67/100</f>
        <v>0</v>
      </c>
      <c r="AD3" s="196">
        <f>0.1</f>
        <v>0.1</v>
      </c>
      <c r="AE3" s="197">
        <f>L6/100-AC3</f>
        <v>0</v>
      </c>
      <c r="AF3" s="61"/>
    </row>
    <row r="4" spans="1:33" x14ac:dyDescent="0.2">
      <c r="A4" s="46" t="str">
        <f>IF(L1="Metric","Total Minus 4.75mm (W1): ","Total Minus #4 (W1): ")</f>
        <v xml:space="preserve">Total Minus #4 (W1): </v>
      </c>
      <c r="B4" s="47"/>
      <c r="C4" s="48"/>
      <c r="D4" s="31"/>
      <c r="E4" s="31"/>
      <c r="F4" s="31" t="str">
        <f>IF(L1="Metric","(Using Box &amp; 203mm Sieves).","(Using Box &amp; 8 in. Sieves).")</f>
        <v>(Using Box &amp; 8 in. Sieves).</v>
      </c>
      <c r="G4" s="33"/>
      <c r="H4" s="31"/>
      <c r="I4" s="327" t="s">
        <v>96</v>
      </c>
      <c r="J4" s="327"/>
      <c r="K4" s="328"/>
      <c r="L4" s="44"/>
      <c r="M4" s="55"/>
      <c r="N4" s="55"/>
      <c r="O4" s="55"/>
      <c r="P4" s="74"/>
      <c r="Q4" s="74"/>
      <c r="R4" s="194"/>
      <c r="S4" s="194"/>
      <c r="T4" s="194"/>
      <c r="U4" s="194"/>
      <c r="V4" s="193"/>
      <c r="W4" s="193"/>
      <c r="X4" s="193" t="s">
        <v>97</v>
      </c>
      <c r="Y4" s="196">
        <f>L3/100</f>
        <v>0</v>
      </c>
      <c r="Z4" s="196">
        <f>AA4/AA$5</f>
        <v>0</v>
      </c>
      <c r="AA4" s="196">
        <f>Y4*AB4</f>
        <v>0</v>
      </c>
      <c r="AB4" s="196">
        <f>1-AC4</f>
        <v>1</v>
      </c>
      <c r="AC4" s="196">
        <f>L4/100</f>
        <v>0</v>
      </c>
      <c r="AD4" s="193"/>
      <c r="AF4" s="61"/>
    </row>
    <row r="5" spans="1:33" x14ac:dyDescent="0.2">
      <c r="A5" s="46" t="str">
        <f>IF(L1="Metric","Reduced Minus 4.75mm (W2): ","Reduced Minus #4 (W2): ")</f>
        <v xml:space="preserve">Reduced Minus #4 (W2): </v>
      </c>
      <c r="B5" s="47"/>
      <c r="C5" s="48"/>
      <c r="D5" s="31"/>
      <c r="E5" s="32"/>
      <c r="F5" s="32"/>
      <c r="G5" s="33"/>
      <c r="H5" s="31"/>
      <c r="I5" s="329" t="str">
        <f>CONCATENATE("% RAS Used (From ",MONTH(I1),"/",DAY(I1),"/",YEAR(I1)," Plant Report)")</f>
        <v>% RAS Used (From 1/0/1900 Plant Report)</v>
      </c>
      <c r="J5" s="329"/>
      <c r="K5" s="329"/>
      <c r="L5" s="49"/>
      <c r="M5" s="55"/>
      <c r="N5" s="55"/>
      <c r="O5" s="55"/>
      <c r="P5" s="74"/>
      <c r="Q5" s="74"/>
      <c r="R5" s="194"/>
      <c r="S5" s="194"/>
      <c r="T5" s="194"/>
      <c r="U5" s="194"/>
      <c r="V5" s="193"/>
      <c r="W5" s="193"/>
      <c r="X5" s="193" t="s">
        <v>98</v>
      </c>
      <c r="Y5" s="198">
        <f>Y4+Y3+Y2</f>
        <v>1</v>
      </c>
      <c r="Z5" s="196">
        <f>AA5/AA$5</f>
        <v>1</v>
      </c>
      <c r="AA5" s="196">
        <f>AA4+AA3+AA2</f>
        <v>100</v>
      </c>
      <c r="AB5" s="193"/>
      <c r="AC5" s="193"/>
      <c r="AD5" s="193"/>
      <c r="AF5" s="61"/>
    </row>
    <row r="6" spans="1:33" ht="15.75" thickBot="1" x14ac:dyDescent="0.25">
      <c r="A6" s="40" t="s">
        <v>99</v>
      </c>
      <c r="B6" s="41"/>
      <c r="C6" s="51" t="str">
        <f>IF(C5="","",ROUND(SUM(C4/C5),4))</f>
        <v/>
      </c>
      <c r="D6" s="31"/>
      <c r="E6" s="31"/>
      <c r="F6" s="31"/>
      <c r="G6" s="31"/>
      <c r="H6" s="31"/>
      <c r="I6" s="327" t="s">
        <v>100</v>
      </c>
      <c r="J6" s="327"/>
      <c r="K6" s="328"/>
      <c r="L6" s="49"/>
      <c r="M6" s="74"/>
      <c r="N6" s="74"/>
      <c r="O6" s="74"/>
      <c r="P6" s="74"/>
      <c r="Q6" s="74"/>
      <c r="R6" s="194"/>
      <c r="S6" s="194"/>
      <c r="T6" s="194"/>
      <c r="U6" s="194"/>
      <c r="V6" s="193"/>
      <c r="W6" s="193"/>
      <c r="X6" s="193"/>
      <c r="Y6" s="193"/>
      <c r="Z6" s="193"/>
      <c r="AA6" s="193"/>
      <c r="AB6" s="193"/>
      <c r="AC6" s="193"/>
      <c r="AD6" s="193"/>
      <c r="AF6" s="61"/>
    </row>
    <row r="7" spans="1:33" x14ac:dyDescent="0.2">
      <c r="A7" s="52"/>
      <c r="B7" s="53" t="s">
        <v>101</v>
      </c>
      <c r="C7" s="53" t="s">
        <v>102</v>
      </c>
      <c r="D7" s="53" t="s">
        <v>57</v>
      </c>
      <c r="E7" s="53" t="s">
        <v>57</v>
      </c>
      <c r="F7" s="53" t="s">
        <v>103</v>
      </c>
      <c r="G7" s="53" t="s">
        <v>104</v>
      </c>
      <c r="H7" s="53" t="s">
        <v>103</v>
      </c>
      <c r="I7" s="54" t="s">
        <v>97</v>
      </c>
      <c r="J7" s="54" t="s">
        <v>95</v>
      </c>
      <c r="K7" s="199"/>
      <c r="L7" s="199"/>
      <c r="M7" s="55"/>
      <c r="N7" s="55"/>
      <c r="O7" s="60" t="s">
        <v>57</v>
      </c>
      <c r="P7" s="55"/>
      <c r="Q7" s="55"/>
      <c r="R7" s="55"/>
      <c r="S7" s="193"/>
      <c r="T7" s="193"/>
      <c r="U7" s="193"/>
      <c r="V7" s="193"/>
      <c r="W7" s="200" t="s">
        <v>105</v>
      </c>
      <c r="X7" s="200" t="s">
        <v>106</v>
      </c>
      <c r="Y7" s="200" t="s">
        <v>97</v>
      </c>
      <c r="Z7" s="200" t="s">
        <v>107</v>
      </c>
      <c r="AA7" s="200" t="s">
        <v>108</v>
      </c>
      <c r="AB7" s="200" t="s">
        <v>95</v>
      </c>
      <c r="AC7" s="200" t="s">
        <v>109</v>
      </c>
      <c r="AD7" s="200" t="s">
        <v>109</v>
      </c>
      <c r="AF7" s="61"/>
    </row>
    <row r="8" spans="1:33" x14ac:dyDescent="0.2">
      <c r="A8" s="58" t="s">
        <v>110</v>
      </c>
      <c r="B8" s="59" t="str">
        <f>IF(L1="Metric","Minus 4.75","Minus #4")</f>
        <v>Minus #4</v>
      </c>
      <c r="C8" s="59" t="s">
        <v>111</v>
      </c>
      <c r="D8" s="59" t="s">
        <v>112</v>
      </c>
      <c r="E8" s="59" t="s">
        <v>113</v>
      </c>
      <c r="F8" s="59" t="s">
        <v>114</v>
      </c>
      <c r="G8" s="59" t="s">
        <v>115</v>
      </c>
      <c r="H8" s="59" t="s">
        <v>114</v>
      </c>
      <c r="I8" s="54" t="s">
        <v>116</v>
      </c>
      <c r="J8" s="54" t="s">
        <v>116</v>
      </c>
      <c r="K8" s="60" t="s">
        <v>114</v>
      </c>
      <c r="L8" s="55"/>
      <c r="M8" s="55"/>
      <c r="N8" s="55"/>
      <c r="O8" s="60" t="s">
        <v>112</v>
      </c>
      <c r="P8" s="55"/>
      <c r="Q8" s="55"/>
      <c r="R8" s="55"/>
      <c r="S8" s="193"/>
      <c r="T8" s="193"/>
      <c r="U8" s="193"/>
      <c r="V8" s="193"/>
      <c r="W8" s="200" t="s">
        <v>117</v>
      </c>
      <c r="X8" s="200" t="s">
        <v>118</v>
      </c>
      <c r="Y8" s="200" t="s">
        <v>119</v>
      </c>
      <c r="Z8" s="200" t="s">
        <v>117</v>
      </c>
      <c r="AA8" s="200" t="s">
        <v>118</v>
      </c>
      <c r="AB8" s="200" t="s">
        <v>119</v>
      </c>
      <c r="AC8" s="200" t="s">
        <v>117</v>
      </c>
      <c r="AD8" s="200" t="s">
        <v>118</v>
      </c>
      <c r="AF8" s="61"/>
      <c r="AG8" s="61"/>
    </row>
    <row r="9" spans="1:33" x14ac:dyDescent="0.2">
      <c r="A9" s="62" t="str">
        <f>IF(L1="Metric","37.5mm","1 1/2 in.")</f>
        <v>1 1/2 in.</v>
      </c>
      <c r="B9" s="63"/>
      <c r="C9" s="64"/>
      <c r="D9" s="65" t="str">
        <f>IF(OR(C$2="",C$3=""),"",IF(C9="",0,(O9)))</f>
        <v/>
      </c>
      <c r="E9" s="66" t="str">
        <f>IF(D23="","",100)</f>
        <v/>
      </c>
      <c r="F9" s="62" t="str">
        <f>IF(E9="","",IF(E9&gt;9.9,ROUND(E9,0),ROUND(E9,1)))</f>
        <v/>
      </c>
      <c r="G9" s="67" t="str">
        <f>IF(ISERROR(IF(AND(AA9="",AD9=""),0,SUM(X9,AA9,AD9))),"",IF(AND(AA9="",AD9=""),0,SUM(X9,AA9,AD9)))</f>
        <v/>
      </c>
      <c r="H9" s="68">
        <f>IF(F9="",0,IF(G9&gt;9.9,ROUND(G9,0),ROUND(G9,1)))</f>
        <v>0</v>
      </c>
      <c r="I9" s="69"/>
      <c r="J9" s="70" t="str">
        <f t="shared" ref="J9:J12" si="0">IF(L$6="","",100)</f>
        <v/>
      </c>
      <c r="K9" s="55"/>
      <c r="L9" s="55"/>
      <c r="M9" s="55"/>
      <c r="N9" s="55"/>
      <c r="O9" s="60" t="e">
        <f t="shared" ref="O9:O20" si="1">ROUND(IF(C9="","",SUM(C9/$C$2)*100),1)</f>
        <v>#VALUE!</v>
      </c>
      <c r="P9" s="60" t="s">
        <v>120</v>
      </c>
      <c r="Q9" s="60">
        <v>2</v>
      </c>
      <c r="R9" s="60" t="s">
        <v>121</v>
      </c>
      <c r="S9" s="200" t="s">
        <v>122</v>
      </c>
      <c r="T9" s="200" t="s">
        <v>123</v>
      </c>
      <c r="U9" s="200">
        <v>6</v>
      </c>
      <c r="V9" s="193"/>
      <c r="W9" s="200">
        <f>Z2*100</f>
        <v>100</v>
      </c>
      <c r="X9" s="200" t="e">
        <f t="shared" ref="X9:X20" si="2">ROUND(IF(W9="",0,SUM(F9*(W9/100))),1)</f>
        <v>#VALUE!</v>
      </c>
      <c r="Y9" s="201">
        <f>I9</f>
        <v>0</v>
      </c>
      <c r="Z9" s="200">
        <f>Z4*100</f>
        <v>0</v>
      </c>
      <c r="AA9" s="200">
        <f>ROUND(IF(Z9="",0,SUM(Y9*(Z9/100))),1)</f>
        <v>0</v>
      </c>
      <c r="AB9" s="202" t="str">
        <f>J9</f>
        <v/>
      </c>
      <c r="AC9" s="194">
        <f>Z3*100</f>
        <v>0</v>
      </c>
      <c r="AD9" s="193">
        <f t="shared" ref="AD9:AD20" si="3">ROUND(IF(AB9="",0,SUM(AB9*(AC9/100))),1)</f>
        <v>0</v>
      </c>
      <c r="AF9" s="61"/>
      <c r="AG9" s="61"/>
    </row>
    <row r="10" spans="1:33" x14ac:dyDescent="0.2">
      <c r="A10" s="62" t="str">
        <f>IF(L1="Metric","25mm","1 in.")</f>
        <v>1 in.</v>
      </c>
      <c r="B10" s="63"/>
      <c r="C10" s="64"/>
      <c r="D10" s="65" t="str">
        <f t="shared" ref="D10:D21" si="4">IF(OR(C$2="",C$3=""),"",IF(C10="",0,(O10)))</f>
        <v/>
      </c>
      <c r="E10" s="65" t="str">
        <f t="shared" ref="E10:E20" si="5">IF(E9="","",SUM(E9-D10))</f>
        <v/>
      </c>
      <c r="F10" s="62" t="str">
        <f t="shared" ref="F10:F20" si="6">IF(E10="","",IF(E10&gt;9.9,ROUND(E10,0),ROUND(E10,1)))</f>
        <v/>
      </c>
      <c r="G10" s="67" t="str">
        <f t="shared" ref="G10:G20" si="7">IF(ISERROR(IF(AND(AA10="",AD10=""),0,SUM(X10,AA10,AD10))),"",IF(AND(AA10="",AD10=""),0,SUM(X10,AA10,AD10)))</f>
        <v/>
      </c>
      <c r="H10" s="68">
        <f t="shared" ref="H10:H20" si="8">IF(F10="",0,IF(G10&gt;9.9,ROUND(G10,0),ROUND(G10,1)))</f>
        <v>0</v>
      </c>
      <c r="I10" s="69"/>
      <c r="J10" s="70" t="str">
        <f t="shared" si="0"/>
        <v/>
      </c>
      <c r="K10" s="60" t="e">
        <f>IF(O$22=100,(O10),IF(P$22=100,(P10),IF(Q$22=100,(Q10),IF(R$22=100,(R10),IF(S$22=100,(S10),IF(T$22=100,(T10),IF(U20=100,(U10),(U10))))))))</f>
        <v>#VALUE!</v>
      </c>
      <c r="L10" s="60" t="s">
        <v>124</v>
      </c>
      <c r="M10" s="55"/>
      <c r="N10" s="55"/>
      <c r="O10" s="60" t="e">
        <f t="shared" si="1"/>
        <v>#VALUE!</v>
      </c>
      <c r="P10" s="60" t="e">
        <f t="shared" ref="P10:P21" si="9">ROUND(IF(O10=L$12,M$12,O10),1)</f>
        <v>#VALUE!</v>
      </c>
      <c r="Q10" s="60" t="e">
        <f t="shared" ref="Q10:Q21" si="10">ROUND(IF(P10=L$13,M$13,P10),1)</f>
        <v>#VALUE!</v>
      </c>
      <c r="R10" s="60" t="e">
        <f t="shared" ref="R10:R21" si="11">ROUND(IF(Q10=L$14,M$14,Q10),1)</f>
        <v>#VALUE!</v>
      </c>
      <c r="S10" s="200" t="e">
        <f t="shared" ref="S10:S21" si="12">ROUND(IF(R10=L$15,M$15,R10),1)</f>
        <v>#VALUE!</v>
      </c>
      <c r="T10" s="200" t="e">
        <f t="shared" ref="T10:T21" si="13">ROUND(IF(S10=L$16,M$16,S10),1)</f>
        <v>#VALUE!</v>
      </c>
      <c r="U10" s="200" t="e">
        <f t="shared" ref="U10:U21" si="14">ROUND(IF(T10=L$17,M$17,T10),1)</f>
        <v>#VALUE!</v>
      </c>
      <c r="V10" s="193"/>
      <c r="W10" s="200">
        <f t="shared" ref="W10:W20" si="15">(W9)</f>
        <v>100</v>
      </c>
      <c r="X10" s="200" t="e">
        <f t="shared" si="2"/>
        <v>#VALUE!</v>
      </c>
      <c r="Y10" s="201">
        <f t="shared" ref="Y10:Y20" si="16">I10</f>
        <v>0</v>
      </c>
      <c r="Z10" s="200">
        <f t="shared" ref="Z10:Z20" si="17">(Z9)</f>
        <v>0</v>
      </c>
      <c r="AA10" s="200">
        <f t="shared" ref="AA10:AA20" si="18">ROUND(IF(Z10="",0,SUM(Y10*(Z10/100))),1)</f>
        <v>0</v>
      </c>
      <c r="AB10" s="202" t="str">
        <f t="shared" ref="AB10:AB20" si="19">J10</f>
        <v/>
      </c>
      <c r="AC10" s="194">
        <f>AC9</f>
        <v>0</v>
      </c>
      <c r="AD10" s="193">
        <f t="shared" si="3"/>
        <v>0</v>
      </c>
      <c r="AF10" s="61"/>
      <c r="AG10" s="61"/>
    </row>
    <row r="11" spans="1:33" x14ac:dyDescent="0.2">
      <c r="A11" s="62" t="str">
        <f>IF(L1="Metric","19mm","3/4 in.")</f>
        <v>3/4 in.</v>
      </c>
      <c r="B11" s="63"/>
      <c r="C11" s="64"/>
      <c r="D11" s="65" t="str">
        <f t="shared" si="4"/>
        <v/>
      </c>
      <c r="E11" s="65" t="str">
        <f t="shared" si="5"/>
        <v/>
      </c>
      <c r="F11" s="62" t="str">
        <f t="shared" si="6"/>
        <v/>
      </c>
      <c r="G11" s="67" t="str">
        <f t="shared" si="7"/>
        <v/>
      </c>
      <c r="H11" s="68">
        <f t="shared" si="8"/>
        <v>0</v>
      </c>
      <c r="I11" s="69"/>
      <c r="J11" s="70" t="str">
        <f t="shared" si="0"/>
        <v/>
      </c>
      <c r="K11" s="60" t="e">
        <f>IF(O$22=100,(O11),IF(P$22=100,(P11),IF(Q$22=100,(Q11),IF(R$22=100,(R11),IF(S$22=100,(S11),IF(T$22=100,(T11),IF(U21=100,(U11),(U11))))))))</f>
        <v>#VALUE!</v>
      </c>
      <c r="L11" s="60" t="s">
        <v>125</v>
      </c>
      <c r="M11" s="55"/>
      <c r="N11" s="55"/>
      <c r="O11" s="60" t="e">
        <f>ROUND(IF(C11="","",SUM(C11/$C$2)*100),1)</f>
        <v>#VALUE!</v>
      </c>
      <c r="P11" s="60" t="e">
        <f>ROUND(IF(O11=L$12,M$12,O11),1)</f>
        <v>#VALUE!</v>
      </c>
      <c r="Q11" s="60" t="e">
        <f t="shared" si="10"/>
        <v>#VALUE!</v>
      </c>
      <c r="R11" s="60" t="e">
        <f t="shared" si="11"/>
        <v>#VALUE!</v>
      </c>
      <c r="S11" s="200" t="e">
        <f t="shared" si="12"/>
        <v>#VALUE!</v>
      </c>
      <c r="T11" s="200" t="e">
        <f t="shared" si="13"/>
        <v>#VALUE!</v>
      </c>
      <c r="U11" s="200" t="e">
        <f t="shared" si="14"/>
        <v>#VALUE!</v>
      </c>
      <c r="V11" s="194"/>
      <c r="W11" s="200">
        <f t="shared" si="15"/>
        <v>100</v>
      </c>
      <c r="X11" s="200" t="e">
        <f t="shared" si="2"/>
        <v>#VALUE!</v>
      </c>
      <c r="Y11" s="201">
        <f t="shared" si="16"/>
        <v>0</v>
      </c>
      <c r="Z11" s="200">
        <f t="shared" si="17"/>
        <v>0</v>
      </c>
      <c r="AA11" s="200">
        <f t="shared" si="18"/>
        <v>0</v>
      </c>
      <c r="AB11" s="202" t="str">
        <f t="shared" si="19"/>
        <v/>
      </c>
      <c r="AC11" s="194">
        <f t="shared" ref="AC11:AC20" si="20">AC10</f>
        <v>0</v>
      </c>
      <c r="AD11" s="193">
        <f t="shared" si="3"/>
        <v>0</v>
      </c>
      <c r="AF11" s="61"/>
      <c r="AG11" s="61"/>
    </row>
    <row r="12" spans="1:33" x14ac:dyDescent="0.2">
      <c r="A12" s="62" t="str">
        <f>IF(L1="Metric","12.5mm","1/2 in.")</f>
        <v>1/2 in.</v>
      </c>
      <c r="B12" s="63"/>
      <c r="C12" s="64"/>
      <c r="D12" s="65" t="str">
        <f t="shared" si="4"/>
        <v/>
      </c>
      <c r="E12" s="65" t="str">
        <f t="shared" si="5"/>
        <v/>
      </c>
      <c r="F12" s="62" t="str">
        <f t="shared" si="6"/>
        <v/>
      </c>
      <c r="G12" s="67" t="str">
        <f t="shared" si="7"/>
        <v/>
      </c>
      <c r="H12" s="68">
        <f t="shared" si="8"/>
        <v>0</v>
      </c>
      <c r="I12" s="69"/>
      <c r="J12" s="70" t="str">
        <f t="shared" si="0"/>
        <v/>
      </c>
      <c r="K12" s="60" t="e">
        <f>IF(O$22=100,(O12),IF(P$22=100,(P12),IF(Q$22=100,(Q12),IF(R$22=100,(R12),IF(S$22=100,(S12),IF(T$22=100,(T12),IF(U22=100,(U12),(U12))))))))</f>
        <v>#VALUE!</v>
      </c>
      <c r="L12" s="60" t="e">
        <f>LARGE(O$9:O$21,1)</f>
        <v>#VALUE!</v>
      </c>
      <c r="M12" s="60" t="e">
        <f>IF(O22&lt;100,(L12+0.1),IF(O22&gt;100,(L12-0.1),L12))</f>
        <v>#VALUE!</v>
      </c>
      <c r="N12" s="55"/>
      <c r="O12" s="60" t="e">
        <f t="shared" si="1"/>
        <v>#VALUE!</v>
      </c>
      <c r="P12" s="60" t="e">
        <f t="shared" si="9"/>
        <v>#VALUE!</v>
      </c>
      <c r="Q12" s="60" t="e">
        <f t="shared" si="10"/>
        <v>#VALUE!</v>
      </c>
      <c r="R12" s="60" t="e">
        <f t="shared" si="11"/>
        <v>#VALUE!</v>
      </c>
      <c r="S12" s="200" t="e">
        <f t="shared" si="12"/>
        <v>#VALUE!</v>
      </c>
      <c r="T12" s="200" t="e">
        <f t="shared" si="13"/>
        <v>#VALUE!</v>
      </c>
      <c r="U12" s="200" t="e">
        <f t="shared" si="14"/>
        <v>#VALUE!</v>
      </c>
      <c r="V12" s="194"/>
      <c r="W12" s="200">
        <f t="shared" si="15"/>
        <v>100</v>
      </c>
      <c r="X12" s="200" t="e">
        <f t="shared" si="2"/>
        <v>#VALUE!</v>
      </c>
      <c r="Y12" s="201">
        <f t="shared" si="16"/>
        <v>0</v>
      </c>
      <c r="Z12" s="200">
        <f t="shared" si="17"/>
        <v>0</v>
      </c>
      <c r="AA12" s="200">
        <f t="shared" si="18"/>
        <v>0</v>
      </c>
      <c r="AB12" s="202" t="str">
        <f t="shared" si="19"/>
        <v/>
      </c>
      <c r="AC12" s="194">
        <f t="shared" si="20"/>
        <v>0</v>
      </c>
      <c r="AD12" s="193">
        <f t="shared" si="3"/>
        <v>0</v>
      </c>
      <c r="AF12" s="61"/>
      <c r="AG12" s="61"/>
    </row>
    <row r="13" spans="1:33" x14ac:dyDescent="0.2">
      <c r="A13" s="62" t="str">
        <f>IF(L1="Metric","9.5mm","3/8 in.")</f>
        <v>3/8 in.</v>
      </c>
      <c r="B13" s="63"/>
      <c r="C13" s="64"/>
      <c r="D13" s="65" t="str">
        <f t="shared" si="4"/>
        <v/>
      </c>
      <c r="E13" s="65" t="str">
        <f t="shared" si="5"/>
        <v/>
      </c>
      <c r="F13" s="62" t="str">
        <f t="shared" si="6"/>
        <v/>
      </c>
      <c r="G13" s="67" t="str">
        <f t="shared" si="7"/>
        <v/>
      </c>
      <c r="H13" s="68">
        <f t="shared" si="8"/>
        <v>0</v>
      </c>
      <c r="I13" s="69"/>
      <c r="J13" s="70" t="str">
        <f>IF(L$6="","",100)</f>
        <v/>
      </c>
      <c r="K13" s="60" t="e">
        <f>IF(O$22=100,(O13),IF(P$22=100,(P13),IF(Q$22=100,(Q13),IF(R$22=100,(R13),IF(S$22=100,(S13),IF(T$22=100,(T13),IF(U22=100,(U13),(U13))))))))</f>
        <v>#VALUE!</v>
      </c>
      <c r="L13" s="60" t="e">
        <f>LARGE(O$9:O$21,2)</f>
        <v>#VALUE!</v>
      </c>
      <c r="M13" s="60" t="e">
        <f>IF(P22&lt;100,(L13+0.1),IF(P22&gt;100,(L13-0.1),L13))</f>
        <v>#VALUE!</v>
      </c>
      <c r="N13" s="55"/>
      <c r="O13" s="60" t="e">
        <f t="shared" si="1"/>
        <v>#VALUE!</v>
      </c>
      <c r="P13" s="60" t="e">
        <f t="shared" si="9"/>
        <v>#VALUE!</v>
      </c>
      <c r="Q13" s="60" t="e">
        <f t="shared" si="10"/>
        <v>#VALUE!</v>
      </c>
      <c r="R13" s="60" t="e">
        <f t="shared" si="11"/>
        <v>#VALUE!</v>
      </c>
      <c r="S13" s="200" t="e">
        <f t="shared" si="12"/>
        <v>#VALUE!</v>
      </c>
      <c r="T13" s="200" t="e">
        <f t="shared" si="13"/>
        <v>#VALUE!</v>
      </c>
      <c r="U13" s="200" t="e">
        <f t="shared" si="14"/>
        <v>#VALUE!</v>
      </c>
      <c r="V13" s="194"/>
      <c r="W13" s="200">
        <f t="shared" si="15"/>
        <v>100</v>
      </c>
      <c r="X13" s="200" t="e">
        <f t="shared" si="2"/>
        <v>#VALUE!</v>
      </c>
      <c r="Y13" s="201">
        <f t="shared" si="16"/>
        <v>0</v>
      </c>
      <c r="Z13" s="200">
        <f t="shared" si="17"/>
        <v>0</v>
      </c>
      <c r="AA13" s="200">
        <f t="shared" si="18"/>
        <v>0</v>
      </c>
      <c r="AB13" s="202" t="str">
        <f t="shared" si="19"/>
        <v/>
      </c>
      <c r="AC13" s="194">
        <f t="shared" si="20"/>
        <v>0</v>
      </c>
      <c r="AD13" s="193">
        <f t="shared" si="3"/>
        <v>0</v>
      </c>
      <c r="AF13" s="61"/>
      <c r="AG13" s="61"/>
    </row>
    <row r="14" spans="1:33" x14ac:dyDescent="0.2">
      <c r="A14" s="62" t="str">
        <f>IF(L1="Metric","4.75mm","#4")</f>
        <v>#4</v>
      </c>
      <c r="B14" s="63"/>
      <c r="C14" s="64"/>
      <c r="D14" s="65" t="str">
        <f t="shared" si="4"/>
        <v/>
      </c>
      <c r="E14" s="65" t="str">
        <f t="shared" si="5"/>
        <v/>
      </c>
      <c r="F14" s="62" t="str">
        <f t="shared" si="6"/>
        <v/>
      </c>
      <c r="G14" s="67" t="str">
        <f t="shared" si="7"/>
        <v/>
      </c>
      <c r="H14" s="68">
        <f t="shared" si="8"/>
        <v>0</v>
      </c>
      <c r="I14" s="69"/>
      <c r="J14" s="70" t="str">
        <f>IF(L6="","",95)</f>
        <v/>
      </c>
      <c r="K14" s="60" t="e">
        <f>IF(O$22=100,(O14),IF(P$22=100,(P14),IF(Q$22=100,(Q14),IF(R$22=100,(R14),IF(S$22=100,(S14),IF(T$22=100,(T14),IF(U22=100,(U14),(U14))))))))</f>
        <v>#VALUE!</v>
      </c>
      <c r="L14" s="60" t="e">
        <f>LARGE(O$9:O$21,3)</f>
        <v>#VALUE!</v>
      </c>
      <c r="M14" s="60" t="e">
        <f>IF(Q22&lt;100,(L14+0.1),IF(Q22&gt;100,(L14-0.1),L14))</f>
        <v>#VALUE!</v>
      </c>
      <c r="N14" s="55"/>
      <c r="O14" s="60" t="e">
        <f t="shared" si="1"/>
        <v>#VALUE!</v>
      </c>
      <c r="P14" s="60" t="e">
        <f t="shared" si="9"/>
        <v>#VALUE!</v>
      </c>
      <c r="Q14" s="60" t="e">
        <f t="shared" si="10"/>
        <v>#VALUE!</v>
      </c>
      <c r="R14" s="60" t="e">
        <f t="shared" si="11"/>
        <v>#VALUE!</v>
      </c>
      <c r="S14" s="200" t="e">
        <f t="shared" si="12"/>
        <v>#VALUE!</v>
      </c>
      <c r="T14" s="200" t="e">
        <f t="shared" si="13"/>
        <v>#VALUE!</v>
      </c>
      <c r="U14" s="200" t="e">
        <f t="shared" si="14"/>
        <v>#VALUE!</v>
      </c>
      <c r="V14" s="194"/>
      <c r="W14" s="200">
        <f t="shared" si="15"/>
        <v>100</v>
      </c>
      <c r="X14" s="200" t="e">
        <f t="shared" si="2"/>
        <v>#VALUE!</v>
      </c>
      <c r="Y14" s="201">
        <f t="shared" si="16"/>
        <v>0</v>
      </c>
      <c r="Z14" s="200">
        <f t="shared" si="17"/>
        <v>0</v>
      </c>
      <c r="AA14" s="200">
        <f t="shared" si="18"/>
        <v>0</v>
      </c>
      <c r="AB14" s="202" t="str">
        <f t="shared" si="19"/>
        <v/>
      </c>
      <c r="AC14" s="194">
        <f t="shared" si="20"/>
        <v>0</v>
      </c>
      <c r="AD14" s="193">
        <f t="shared" si="3"/>
        <v>0</v>
      </c>
      <c r="AF14" s="61"/>
      <c r="AG14" s="61"/>
    </row>
    <row r="15" spans="1:33" x14ac:dyDescent="0.2">
      <c r="A15" s="62" t="str">
        <f>IF(L1="Metric","2.36mm","#8")</f>
        <v>#8</v>
      </c>
      <c r="B15" s="73"/>
      <c r="C15" s="64"/>
      <c r="D15" s="65" t="str">
        <f t="shared" si="4"/>
        <v/>
      </c>
      <c r="E15" s="65" t="str">
        <f t="shared" si="5"/>
        <v/>
      </c>
      <c r="F15" s="62" t="str">
        <f t="shared" si="6"/>
        <v/>
      </c>
      <c r="G15" s="67" t="str">
        <f t="shared" si="7"/>
        <v/>
      </c>
      <c r="H15" s="68">
        <f t="shared" si="8"/>
        <v>0</v>
      </c>
      <c r="I15" s="69"/>
      <c r="J15" s="70" t="str">
        <f>IF(L6="","",85)</f>
        <v/>
      </c>
      <c r="K15" s="60" t="e">
        <f>IF(O$22=100,(O15),IF(P$22=100,(P15),IF(Q$22=100,(Q15),IF(R$22=100,(R15),IF(S$22=100,(S15),IF(T$22=100,(T15),IF(U22=100,(U15),(U15))))))))</f>
        <v>#VALUE!</v>
      </c>
      <c r="L15" s="60" t="e">
        <f>LARGE(O$9:O$21,4)</f>
        <v>#VALUE!</v>
      </c>
      <c r="M15" s="60" t="e">
        <f>IF(R22&lt;100,(L15+0.1),IF(R22&gt;100,(L15-0.1),L15))</f>
        <v>#VALUE!</v>
      </c>
      <c r="N15" s="74"/>
      <c r="O15" s="60" t="e">
        <f t="shared" si="1"/>
        <v>#VALUE!</v>
      </c>
      <c r="P15" s="60" t="e">
        <f t="shared" si="9"/>
        <v>#VALUE!</v>
      </c>
      <c r="Q15" s="60" t="e">
        <f t="shared" si="10"/>
        <v>#VALUE!</v>
      </c>
      <c r="R15" s="60" t="e">
        <f t="shared" si="11"/>
        <v>#VALUE!</v>
      </c>
      <c r="S15" s="200" t="e">
        <f t="shared" si="12"/>
        <v>#VALUE!</v>
      </c>
      <c r="T15" s="200" t="e">
        <f t="shared" si="13"/>
        <v>#VALUE!</v>
      </c>
      <c r="U15" s="200" t="e">
        <f t="shared" si="14"/>
        <v>#VALUE!</v>
      </c>
      <c r="V15" s="194"/>
      <c r="W15" s="200">
        <f t="shared" si="15"/>
        <v>100</v>
      </c>
      <c r="X15" s="200" t="e">
        <f t="shared" si="2"/>
        <v>#VALUE!</v>
      </c>
      <c r="Y15" s="201">
        <f t="shared" si="16"/>
        <v>0</v>
      </c>
      <c r="Z15" s="200">
        <f t="shared" si="17"/>
        <v>0</v>
      </c>
      <c r="AA15" s="200">
        <f t="shared" si="18"/>
        <v>0</v>
      </c>
      <c r="AB15" s="202" t="str">
        <f t="shared" si="19"/>
        <v/>
      </c>
      <c r="AC15" s="194">
        <f t="shared" si="20"/>
        <v>0</v>
      </c>
      <c r="AD15" s="193">
        <f t="shared" si="3"/>
        <v>0</v>
      </c>
      <c r="AF15" s="61"/>
      <c r="AG15" s="61"/>
    </row>
    <row r="16" spans="1:33" x14ac:dyDescent="0.2">
      <c r="A16" s="62" t="str">
        <f>IF(L1="Metric","1.18mm","#16")</f>
        <v>#16</v>
      </c>
      <c r="B16" s="73"/>
      <c r="C16" s="64"/>
      <c r="D16" s="65" t="str">
        <f t="shared" si="4"/>
        <v/>
      </c>
      <c r="E16" s="65" t="str">
        <f t="shared" si="5"/>
        <v/>
      </c>
      <c r="F16" s="62" t="str">
        <f t="shared" si="6"/>
        <v/>
      </c>
      <c r="G16" s="67" t="str">
        <f t="shared" si="7"/>
        <v/>
      </c>
      <c r="H16" s="68">
        <f t="shared" si="8"/>
        <v>0</v>
      </c>
      <c r="I16" s="69"/>
      <c r="J16" s="70" t="str">
        <f>IF(L6="","",70)</f>
        <v/>
      </c>
      <c r="K16" s="60" t="e">
        <f>IF(O$22=100,(O16),IF(P$22=100,(P16),IF(Q$22=100,(Q16),IF(R$22=100,(R16),IF(S$22=100,(S16),IF(T$22=100,(T16),IF(U22=100,(U16),(U16))))))))</f>
        <v>#VALUE!</v>
      </c>
      <c r="L16" s="60" t="e">
        <f>LARGE(O$9:O$21,5)</f>
        <v>#VALUE!</v>
      </c>
      <c r="M16" s="60" t="e">
        <f>IF(S22&lt;100,(L16+0.1),IF(S22&gt;100,(L16-0.1),L16))</f>
        <v>#VALUE!</v>
      </c>
      <c r="N16" s="55"/>
      <c r="O16" s="60" t="e">
        <f t="shared" si="1"/>
        <v>#VALUE!</v>
      </c>
      <c r="P16" s="60" t="e">
        <f t="shared" si="9"/>
        <v>#VALUE!</v>
      </c>
      <c r="Q16" s="60" t="e">
        <f t="shared" si="10"/>
        <v>#VALUE!</v>
      </c>
      <c r="R16" s="60" t="e">
        <f t="shared" si="11"/>
        <v>#VALUE!</v>
      </c>
      <c r="S16" s="200" t="e">
        <f t="shared" si="12"/>
        <v>#VALUE!</v>
      </c>
      <c r="T16" s="200" t="e">
        <f t="shared" si="13"/>
        <v>#VALUE!</v>
      </c>
      <c r="U16" s="200" t="e">
        <f t="shared" si="14"/>
        <v>#VALUE!</v>
      </c>
      <c r="V16" s="194"/>
      <c r="W16" s="200">
        <f t="shared" si="15"/>
        <v>100</v>
      </c>
      <c r="X16" s="200" t="e">
        <f t="shared" si="2"/>
        <v>#VALUE!</v>
      </c>
      <c r="Y16" s="201">
        <f t="shared" si="16"/>
        <v>0</v>
      </c>
      <c r="Z16" s="200">
        <f t="shared" si="17"/>
        <v>0</v>
      </c>
      <c r="AA16" s="200">
        <f t="shared" si="18"/>
        <v>0</v>
      </c>
      <c r="AB16" s="202" t="str">
        <f t="shared" si="19"/>
        <v/>
      </c>
      <c r="AC16" s="194">
        <f t="shared" si="20"/>
        <v>0</v>
      </c>
      <c r="AD16" s="193">
        <f t="shared" si="3"/>
        <v>0</v>
      </c>
      <c r="AF16" s="61"/>
      <c r="AG16" s="61"/>
    </row>
    <row r="17" spans="1:33" x14ac:dyDescent="0.2">
      <c r="A17" s="62" t="str">
        <f>IF(L1="Metric","600um","#30")</f>
        <v>#30</v>
      </c>
      <c r="B17" s="73"/>
      <c r="C17" s="64"/>
      <c r="D17" s="65" t="str">
        <f t="shared" si="4"/>
        <v/>
      </c>
      <c r="E17" s="65" t="str">
        <f t="shared" si="5"/>
        <v/>
      </c>
      <c r="F17" s="62" t="str">
        <f t="shared" si="6"/>
        <v/>
      </c>
      <c r="G17" s="67" t="str">
        <f t="shared" si="7"/>
        <v/>
      </c>
      <c r="H17" s="68">
        <f t="shared" si="8"/>
        <v>0</v>
      </c>
      <c r="I17" s="69"/>
      <c r="J17" s="70" t="str">
        <f>IF(L6="","",50)</f>
        <v/>
      </c>
      <c r="K17" s="60" t="e">
        <f>IF(O$22=100,(O17),IF(P$22=100,(P17),IF(Q$22=100,(Q17),IF(R$22=100,(R17),IF(S$22=100,(S17),IF(T$22=100,(T17),IF(U22=100,(U17),(U17))))))))</f>
        <v>#VALUE!</v>
      </c>
      <c r="L17" s="60" t="e">
        <f>LARGE(O$9:O$21,6)</f>
        <v>#VALUE!</v>
      </c>
      <c r="M17" s="60" t="e">
        <f>IF(T22&lt;100,(L17+0.1),IF(T22&gt;100,(L17-0.1),L17))</f>
        <v>#VALUE!</v>
      </c>
      <c r="N17" s="55"/>
      <c r="O17" s="60" t="e">
        <f t="shared" si="1"/>
        <v>#VALUE!</v>
      </c>
      <c r="P17" s="60" t="e">
        <f t="shared" si="9"/>
        <v>#VALUE!</v>
      </c>
      <c r="Q17" s="60" t="e">
        <f t="shared" si="10"/>
        <v>#VALUE!</v>
      </c>
      <c r="R17" s="60" t="e">
        <f t="shared" si="11"/>
        <v>#VALUE!</v>
      </c>
      <c r="S17" s="200" t="e">
        <f t="shared" si="12"/>
        <v>#VALUE!</v>
      </c>
      <c r="T17" s="200" t="e">
        <f t="shared" si="13"/>
        <v>#VALUE!</v>
      </c>
      <c r="U17" s="200" t="e">
        <f t="shared" si="14"/>
        <v>#VALUE!</v>
      </c>
      <c r="V17" s="194"/>
      <c r="W17" s="200">
        <f t="shared" si="15"/>
        <v>100</v>
      </c>
      <c r="X17" s="200" t="e">
        <f t="shared" si="2"/>
        <v>#VALUE!</v>
      </c>
      <c r="Y17" s="201">
        <f t="shared" si="16"/>
        <v>0</v>
      </c>
      <c r="Z17" s="200">
        <f t="shared" si="17"/>
        <v>0</v>
      </c>
      <c r="AA17" s="200">
        <f t="shared" si="18"/>
        <v>0</v>
      </c>
      <c r="AB17" s="202" t="str">
        <f t="shared" si="19"/>
        <v/>
      </c>
      <c r="AC17" s="194">
        <f t="shared" si="20"/>
        <v>0</v>
      </c>
      <c r="AD17" s="193">
        <f t="shared" si="3"/>
        <v>0</v>
      </c>
      <c r="AF17" s="61"/>
      <c r="AG17" s="61"/>
    </row>
    <row r="18" spans="1:33" x14ac:dyDescent="0.2">
      <c r="A18" s="62" t="str">
        <f>IF(L1="Metric","300um","#50")</f>
        <v>#50</v>
      </c>
      <c r="B18" s="73"/>
      <c r="C18" s="64"/>
      <c r="D18" s="65" t="str">
        <f t="shared" si="4"/>
        <v/>
      </c>
      <c r="E18" s="65" t="str">
        <f t="shared" si="5"/>
        <v/>
      </c>
      <c r="F18" s="62" t="str">
        <f t="shared" si="6"/>
        <v/>
      </c>
      <c r="G18" s="67" t="str">
        <f t="shared" si="7"/>
        <v/>
      </c>
      <c r="H18" s="68">
        <f t="shared" si="8"/>
        <v>0</v>
      </c>
      <c r="I18" s="69"/>
      <c r="J18" s="70" t="str">
        <f>IF(L6="","",45)</f>
        <v/>
      </c>
      <c r="K18" s="60" t="e">
        <f>IF(O$22=100,(O18),IF(P$22=100,(P18),IF(Q$22=100,(Q18),IF(R$22=100,(R18),IF(S$22=100,(S18),IF(T$22=100,(T18),IF(U22=100,(U18),(U18))))))))</f>
        <v>#VALUE!</v>
      </c>
      <c r="L18" s="74"/>
      <c r="M18" s="74"/>
      <c r="N18" s="74"/>
      <c r="O18" s="60" t="e">
        <f t="shared" si="1"/>
        <v>#VALUE!</v>
      </c>
      <c r="P18" s="60" t="e">
        <f t="shared" si="9"/>
        <v>#VALUE!</v>
      </c>
      <c r="Q18" s="60" t="e">
        <f t="shared" si="10"/>
        <v>#VALUE!</v>
      </c>
      <c r="R18" s="60" t="e">
        <f t="shared" si="11"/>
        <v>#VALUE!</v>
      </c>
      <c r="S18" s="200" t="e">
        <f t="shared" si="12"/>
        <v>#VALUE!</v>
      </c>
      <c r="T18" s="200" t="e">
        <f t="shared" si="13"/>
        <v>#VALUE!</v>
      </c>
      <c r="U18" s="200" t="e">
        <f t="shared" si="14"/>
        <v>#VALUE!</v>
      </c>
      <c r="V18" s="194"/>
      <c r="W18" s="200">
        <f t="shared" si="15"/>
        <v>100</v>
      </c>
      <c r="X18" s="200" t="e">
        <f t="shared" si="2"/>
        <v>#VALUE!</v>
      </c>
      <c r="Y18" s="201">
        <f t="shared" si="16"/>
        <v>0</v>
      </c>
      <c r="Z18" s="200">
        <f t="shared" si="17"/>
        <v>0</v>
      </c>
      <c r="AA18" s="200">
        <f t="shared" si="18"/>
        <v>0</v>
      </c>
      <c r="AB18" s="202" t="str">
        <f t="shared" si="19"/>
        <v/>
      </c>
      <c r="AC18" s="194">
        <f t="shared" si="20"/>
        <v>0</v>
      </c>
      <c r="AD18" s="193">
        <f t="shared" si="3"/>
        <v>0</v>
      </c>
      <c r="AF18" s="61"/>
      <c r="AG18" s="61"/>
    </row>
    <row r="19" spans="1:33" x14ac:dyDescent="0.2">
      <c r="A19" s="62" t="str">
        <f>IF(L1="Metric","150um","#100")</f>
        <v>#100</v>
      </c>
      <c r="B19" s="73"/>
      <c r="C19" s="64"/>
      <c r="D19" s="65" t="str">
        <f t="shared" si="4"/>
        <v/>
      </c>
      <c r="E19" s="65" t="str">
        <f t="shared" si="5"/>
        <v/>
      </c>
      <c r="F19" s="62" t="str">
        <f t="shared" si="6"/>
        <v/>
      </c>
      <c r="G19" s="67" t="str">
        <f t="shared" si="7"/>
        <v/>
      </c>
      <c r="H19" s="68">
        <f t="shared" si="8"/>
        <v>0</v>
      </c>
      <c r="I19" s="69"/>
      <c r="J19" s="70" t="str">
        <f>IF(L6="","",35)</f>
        <v/>
      </c>
      <c r="K19" s="60" t="e">
        <f>IF(O$22=100,(O19),IF(P$22=100,(P19),IF(Q$22=100,(Q19),IF(R$22=100,(R19),IF(S$22=100,(S19),IF(T$22=100,(T19),IF(U22=100,(U19),(U19))))))))</f>
        <v>#VALUE!</v>
      </c>
      <c r="L19" s="74"/>
      <c r="M19" s="55"/>
      <c r="N19" s="74"/>
      <c r="O19" s="60" t="e">
        <f t="shared" si="1"/>
        <v>#VALUE!</v>
      </c>
      <c r="P19" s="60" t="e">
        <f t="shared" si="9"/>
        <v>#VALUE!</v>
      </c>
      <c r="Q19" s="60" t="e">
        <f t="shared" si="10"/>
        <v>#VALUE!</v>
      </c>
      <c r="R19" s="60" t="e">
        <f t="shared" si="11"/>
        <v>#VALUE!</v>
      </c>
      <c r="S19" s="200" t="e">
        <f t="shared" si="12"/>
        <v>#VALUE!</v>
      </c>
      <c r="T19" s="200" t="e">
        <f t="shared" si="13"/>
        <v>#VALUE!</v>
      </c>
      <c r="U19" s="200" t="e">
        <f t="shared" si="14"/>
        <v>#VALUE!</v>
      </c>
      <c r="V19" s="194"/>
      <c r="W19" s="200">
        <f t="shared" si="15"/>
        <v>100</v>
      </c>
      <c r="X19" s="200" t="e">
        <f t="shared" si="2"/>
        <v>#VALUE!</v>
      </c>
      <c r="Y19" s="201">
        <f t="shared" si="16"/>
        <v>0</v>
      </c>
      <c r="Z19" s="200">
        <f t="shared" si="17"/>
        <v>0</v>
      </c>
      <c r="AA19" s="200">
        <f t="shared" si="18"/>
        <v>0</v>
      </c>
      <c r="AB19" s="202" t="str">
        <f t="shared" si="19"/>
        <v/>
      </c>
      <c r="AC19" s="194">
        <f t="shared" si="20"/>
        <v>0</v>
      </c>
      <c r="AD19" s="193">
        <f t="shared" si="3"/>
        <v>0</v>
      </c>
      <c r="AF19" s="61"/>
      <c r="AG19" s="61"/>
    </row>
    <row r="20" spans="1:33" x14ac:dyDescent="0.2">
      <c r="A20" s="62" t="str">
        <f>IF(L1="Metric","75um","#200")</f>
        <v>#200</v>
      </c>
      <c r="B20" s="73"/>
      <c r="C20" s="64"/>
      <c r="D20" s="65" t="str">
        <f t="shared" si="4"/>
        <v/>
      </c>
      <c r="E20" s="65" t="str">
        <f t="shared" si="5"/>
        <v/>
      </c>
      <c r="F20" s="62" t="str">
        <f t="shared" si="6"/>
        <v/>
      </c>
      <c r="G20" s="67" t="str">
        <f t="shared" si="7"/>
        <v/>
      </c>
      <c r="H20" s="68">
        <f t="shared" si="8"/>
        <v>0</v>
      </c>
      <c r="I20" s="69"/>
      <c r="J20" s="70" t="str">
        <f>IF(L6="","",25)</f>
        <v/>
      </c>
      <c r="K20" s="60" t="e">
        <f>IF(O$22=100,(O20),IF(P$22=100,(P20),IF(Q$22=100,(Q20),IF(R$22=100,(R20),IF(S$22=100,(S20),IF(T$22=100,(T20),IF(U22=100,(U20),(U20))))))))</f>
        <v>#VALUE!</v>
      </c>
      <c r="L20" s="74"/>
      <c r="M20" s="74"/>
      <c r="N20" s="74"/>
      <c r="O20" s="60" t="e">
        <f t="shared" si="1"/>
        <v>#VALUE!</v>
      </c>
      <c r="P20" s="60" t="e">
        <f t="shared" si="9"/>
        <v>#VALUE!</v>
      </c>
      <c r="Q20" s="60" t="e">
        <f t="shared" si="10"/>
        <v>#VALUE!</v>
      </c>
      <c r="R20" s="60" t="e">
        <f t="shared" si="11"/>
        <v>#VALUE!</v>
      </c>
      <c r="S20" s="200" t="e">
        <f t="shared" si="12"/>
        <v>#VALUE!</v>
      </c>
      <c r="T20" s="200" t="e">
        <f t="shared" si="13"/>
        <v>#VALUE!</v>
      </c>
      <c r="U20" s="200" t="e">
        <f t="shared" si="14"/>
        <v>#VALUE!</v>
      </c>
      <c r="V20" s="194"/>
      <c r="W20" s="200">
        <f t="shared" si="15"/>
        <v>100</v>
      </c>
      <c r="X20" s="200" t="e">
        <f t="shared" si="2"/>
        <v>#VALUE!</v>
      </c>
      <c r="Y20" s="201">
        <f t="shared" si="16"/>
        <v>0</v>
      </c>
      <c r="Z20" s="200">
        <f t="shared" si="17"/>
        <v>0</v>
      </c>
      <c r="AA20" s="200">
        <f t="shared" si="18"/>
        <v>0</v>
      </c>
      <c r="AB20" s="202" t="str">
        <f t="shared" si="19"/>
        <v/>
      </c>
      <c r="AC20" s="194">
        <f t="shared" si="20"/>
        <v>0</v>
      </c>
      <c r="AD20" s="193">
        <f t="shared" si="3"/>
        <v>0</v>
      </c>
      <c r="AF20" s="61"/>
      <c r="AG20" s="61"/>
    </row>
    <row r="21" spans="1:33" x14ac:dyDescent="0.2">
      <c r="A21" s="62" t="s">
        <v>126</v>
      </c>
      <c r="B21" s="73"/>
      <c r="C21" s="64"/>
      <c r="D21" s="65" t="str">
        <f t="shared" si="4"/>
        <v/>
      </c>
      <c r="E21" s="75"/>
      <c r="F21" s="75"/>
      <c r="G21" s="76"/>
      <c r="H21" s="77"/>
      <c r="I21" s="77"/>
      <c r="J21" s="77"/>
      <c r="K21" s="203" t="e">
        <f>IF(O$22=100,(O21),IF(P$22=100,(P21),IF(Q$22=100,(Q21),IF(R$22=100,(R21),IF(S$22=100,(S21),IF(T$22=100,(T21),IF(U22=100,(U21),(U21))))))))</f>
        <v>#VALUE!</v>
      </c>
      <c r="L21" s="204"/>
      <c r="M21" s="74"/>
      <c r="N21" s="74"/>
      <c r="O21" s="60" t="e">
        <f>ROUND(IF(C21="","",SUM((C21+C22)/$C$2)*100),1)</f>
        <v>#VALUE!</v>
      </c>
      <c r="P21" s="60" t="e">
        <f t="shared" si="9"/>
        <v>#VALUE!</v>
      </c>
      <c r="Q21" s="60" t="e">
        <f t="shared" si="10"/>
        <v>#VALUE!</v>
      </c>
      <c r="R21" s="60" t="e">
        <f t="shared" si="11"/>
        <v>#VALUE!</v>
      </c>
      <c r="S21" s="200" t="e">
        <f t="shared" si="12"/>
        <v>#VALUE!</v>
      </c>
      <c r="T21" s="200" t="e">
        <f t="shared" si="13"/>
        <v>#VALUE!</v>
      </c>
      <c r="U21" s="200" t="e">
        <f t="shared" si="14"/>
        <v>#VALUE!</v>
      </c>
      <c r="V21" s="194"/>
      <c r="W21" s="193"/>
      <c r="X21" s="193"/>
      <c r="Y21" s="193"/>
      <c r="Z21" s="193"/>
      <c r="AA21" s="193"/>
      <c r="AB21" s="193"/>
      <c r="AC21" s="193"/>
      <c r="AD21" s="193"/>
      <c r="AF21" s="61"/>
      <c r="AG21" s="61"/>
    </row>
    <row r="22" spans="1:33" x14ac:dyDescent="0.2">
      <c r="A22" s="62" t="s">
        <v>127</v>
      </c>
      <c r="B22" s="63"/>
      <c r="C22" s="65" t="str">
        <f>IF(C3="","",SUM(C2-C3))</f>
        <v/>
      </c>
      <c r="D22" s="80"/>
      <c r="E22" s="75"/>
      <c r="F22" s="81"/>
      <c r="G22" s="81"/>
      <c r="H22" s="81"/>
      <c r="I22" s="81"/>
      <c r="J22" s="81"/>
      <c r="K22" s="203" t="e">
        <f>SUM(K9:K21)</f>
        <v>#VALUE!</v>
      </c>
      <c r="L22" s="85"/>
      <c r="M22" s="55"/>
      <c r="N22" s="55"/>
      <c r="O22" s="60" t="e">
        <f>ROUND(SUM(O9:O21),1)</f>
        <v>#VALUE!</v>
      </c>
      <c r="P22" s="60" t="e">
        <f t="shared" ref="P22:U22" si="21">ROUND(IF(P21="","",SUM(P10:P21)),1)</f>
        <v>#VALUE!</v>
      </c>
      <c r="Q22" s="60" t="e">
        <f t="shared" si="21"/>
        <v>#VALUE!</v>
      </c>
      <c r="R22" s="60" t="e">
        <f t="shared" si="21"/>
        <v>#VALUE!</v>
      </c>
      <c r="S22" s="200" t="e">
        <f t="shared" si="21"/>
        <v>#VALUE!</v>
      </c>
      <c r="T22" s="200" t="e">
        <f t="shared" si="21"/>
        <v>#VALUE!</v>
      </c>
      <c r="U22" s="200" t="e">
        <f t="shared" si="21"/>
        <v>#VALUE!</v>
      </c>
      <c r="V22" s="193"/>
      <c r="W22" s="193"/>
      <c r="X22" s="193"/>
      <c r="Y22" s="193"/>
      <c r="Z22" s="193"/>
      <c r="AA22" s="193"/>
      <c r="AB22" s="193"/>
      <c r="AC22" s="193"/>
      <c r="AD22" s="193"/>
      <c r="AF22" s="61"/>
      <c r="AG22" s="61"/>
    </row>
    <row r="23" spans="1:33" x14ac:dyDescent="0.2">
      <c r="A23" s="62" t="s">
        <v>128</v>
      </c>
      <c r="B23" s="83" t="str">
        <f>IF(B21="","",SUM(B15:B21))</f>
        <v/>
      </c>
      <c r="C23" s="83" t="str">
        <f>IF(C21="","",SUM(C9:C22))</f>
        <v/>
      </c>
      <c r="D23" s="65" t="str">
        <f>IF(D21="","",SUM(D9:D21))</f>
        <v/>
      </c>
      <c r="E23" s="84"/>
      <c r="F23" s="81"/>
      <c r="G23" s="81"/>
      <c r="H23" s="81"/>
      <c r="I23" s="81"/>
      <c r="J23" s="81"/>
      <c r="K23" s="85"/>
      <c r="L23" s="85"/>
      <c r="M23" s="55"/>
      <c r="N23" s="55"/>
      <c r="O23" s="55"/>
      <c r="P23" s="55"/>
      <c r="Q23" s="55"/>
      <c r="R23" s="55"/>
      <c r="S23" s="193"/>
      <c r="T23" s="193"/>
      <c r="U23" s="193"/>
      <c r="V23" s="193"/>
      <c r="W23" s="194"/>
      <c r="X23" s="194"/>
      <c r="Y23" s="194"/>
      <c r="Z23" s="194"/>
      <c r="AA23" s="194"/>
      <c r="AB23" s="193"/>
      <c r="AC23" s="193"/>
      <c r="AD23" s="193"/>
      <c r="AF23" s="61"/>
      <c r="AG23" s="61"/>
    </row>
    <row r="24" spans="1:33" x14ac:dyDescent="0.2">
      <c r="A24" s="62" t="s">
        <v>129</v>
      </c>
      <c r="B24" s="65" t="str">
        <f>IF(B23="","",ROUND(SUM(B23/C5)*100,1))</f>
        <v/>
      </c>
      <c r="C24" s="65" t="str">
        <f>IF(C23="","",ROUND(SUM(C23/C2)*100,1))</f>
        <v/>
      </c>
      <c r="D24" s="34"/>
      <c r="E24" s="81"/>
      <c r="F24" s="81"/>
      <c r="G24" s="81"/>
      <c r="H24" s="81"/>
      <c r="I24" s="81"/>
      <c r="J24" s="81"/>
      <c r="K24" s="85"/>
      <c r="L24" s="85"/>
      <c r="M24" s="55"/>
      <c r="N24" s="55"/>
      <c r="O24" s="55"/>
      <c r="P24" s="55"/>
      <c r="Q24" s="55"/>
      <c r="R24" s="55"/>
      <c r="S24" s="193"/>
      <c r="T24" s="193"/>
      <c r="U24" s="193"/>
      <c r="V24" s="193"/>
      <c r="W24" s="200"/>
      <c r="X24" s="200"/>
      <c r="Y24" s="200"/>
      <c r="Z24" s="200"/>
      <c r="AA24" s="200"/>
      <c r="AB24" s="193"/>
      <c r="AC24" s="193"/>
      <c r="AD24" s="193"/>
      <c r="AF24" s="61"/>
      <c r="AG24" s="61"/>
    </row>
    <row r="25" spans="1:33" x14ac:dyDescent="0.2">
      <c r="A25" s="86"/>
      <c r="B25" s="86"/>
      <c r="C25" s="87"/>
      <c r="D25" s="34"/>
      <c r="E25" s="75"/>
      <c r="F25" s="81"/>
      <c r="G25" s="81"/>
      <c r="H25" s="81"/>
      <c r="I25" s="81"/>
      <c r="J25" s="81"/>
      <c r="K25" s="85"/>
      <c r="L25" s="85"/>
      <c r="M25" s="55"/>
      <c r="N25" s="55"/>
      <c r="O25" s="55"/>
      <c r="P25" s="55"/>
      <c r="Q25" s="55"/>
      <c r="R25" s="55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F25" s="61"/>
      <c r="AG25" s="61"/>
    </row>
    <row r="26" spans="1:33" hidden="1" x14ac:dyDescent="0.2">
      <c r="A26" s="89"/>
      <c r="B26" s="90"/>
      <c r="C26" s="86"/>
      <c r="D26" s="91"/>
      <c r="E26" s="92"/>
      <c r="F26" s="93"/>
      <c r="G26" s="93"/>
      <c r="H26" s="94"/>
      <c r="I26" s="95"/>
      <c r="J26" s="95"/>
      <c r="K26" s="89"/>
      <c r="L26" s="89"/>
      <c r="M26" s="205"/>
      <c r="N26" s="205"/>
      <c r="O26" s="206"/>
      <c r="P26" s="206"/>
      <c r="T26" s="208"/>
      <c r="U26" s="208"/>
      <c r="V26" s="208"/>
      <c r="W26" s="208"/>
      <c r="AF26" s="61"/>
    </row>
    <row r="27" spans="1:33" hidden="1" x14ac:dyDescent="0.2">
      <c r="A27" s="89"/>
      <c r="B27" s="90"/>
      <c r="C27" s="86"/>
      <c r="D27" s="91"/>
      <c r="E27" s="92"/>
      <c r="F27" s="93"/>
      <c r="G27" s="93"/>
      <c r="H27" s="94"/>
      <c r="I27" s="95"/>
      <c r="J27" s="95"/>
      <c r="K27" s="89"/>
      <c r="L27" s="89"/>
      <c r="M27" s="205"/>
      <c r="N27" s="205"/>
      <c r="O27" s="206"/>
      <c r="P27" s="206"/>
      <c r="T27" s="208"/>
      <c r="U27" s="208"/>
      <c r="V27" s="208"/>
      <c r="W27" s="208"/>
      <c r="AF27" s="61"/>
    </row>
    <row r="28" spans="1:33" hidden="1" x14ac:dyDescent="0.2">
      <c r="A28" s="89"/>
      <c r="B28" s="90"/>
      <c r="C28" s="86"/>
      <c r="D28" s="91"/>
      <c r="E28" s="92"/>
      <c r="F28" s="93"/>
      <c r="G28" s="93"/>
      <c r="H28" s="94"/>
      <c r="I28" s="95"/>
      <c r="J28" s="95"/>
      <c r="K28" s="89"/>
      <c r="L28" s="89"/>
      <c r="M28" s="205"/>
      <c r="N28" s="205"/>
      <c r="O28" s="206"/>
      <c r="P28" s="209"/>
      <c r="Q28" s="210" t="e">
        <f>IF(Q$56=100,(Q44),IF(R$56=100,(R44),IF(S$56=100,(S44),IF(T$56=100,(T44),IF(U$56=100,(U44),IF(V$56=100,(V44),IF(W56=100,(W44),(W44))))))))</f>
        <v>#VALUE!</v>
      </c>
      <c r="R28" s="210" t="s">
        <v>124</v>
      </c>
      <c r="T28" s="208"/>
      <c r="U28" s="208"/>
      <c r="V28" s="208"/>
      <c r="W28" s="208"/>
      <c r="AF28" s="61"/>
    </row>
    <row r="29" spans="1:33" hidden="1" x14ac:dyDescent="0.2">
      <c r="A29" s="89"/>
      <c r="B29" s="90"/>
      <c r="C29" s="86"/>
      <c r="D29" s="91"/>
      <c r="E29" s="92"/>
      <c r="F29" s="93"/>
      <c r="G29" s="93"/>
      <c r="H29" s="94"/>
      <c r="I29" s="95"/>
      <c r="J29" s="95"/>
      <c r="K29" s="89"/>
      <c r="L29" s="89"/>
      <c r="M29" s="205"/>
      <c r="N29" s="205"/>
      <c r="O29" s="206"/>
      <c r="P29" s="209"/>
      <c r="Q29" s="210" t="e">
        <f>IF(Q$56=100,(Q45),IF(R$56=100,(R45),IF(S$56=100,(S45),IF(T$56=100,(T45),IF(U$56=100,(U45),IF(V$56=100,(V45),IF(W56=100,(W45),(W45))))))))</f>
        <v>#VALUE!</v>
      </c>
      <c r="R29" s="210" t="s">
        <v>125</v>
      </c>
      <c r="T29" s="208"/>
      <c r="U29" s="208"/>
      <c r="V29" s="208"/>
      <c r="W29" s="208"/>
      <c r="AF29" s="61"/>
    </row>
    <row r="30" spans="1:33" hidden="1" x14ac:dyDescent="0.2">
      <c r="A30" s="89"/>
      <c r="B30" s="90"/>
      <c r="C30" s="86"/>
      <c r="D30" s="91"/>
      <c r="E30" s="92"/>
      <c r="F30" s="93"/>
      <c r="G30" s="93"/>
      <c r="H30" s="94"/>
      <c r="I30" s="95"/>
      <c r="J30" s="95"/>
      <c r="K30" s="89"/>
      <c r="L30" s="89"/>
      <c r="M30" s="205"/>
      <c r="N30" s="205"/>
      <c r="O30" s="206"/>
      <c r="P30" s="209"/>
      <c r="Q30" s="210" t="e">
        <f>IF(Q$56=100,(Q46),IF(R$56=100,(R46),IF(S$56=100,(S46),IF(T$56=100,(T46),IF(U$56=100,(U46),IF(V$56=100,(V46),IF(W56=100,(W46),(W46))))))))</f>
        <v>#VALUE!</v>
      </c>
      <c r="R30" s="210" t="e">
        <f>LARGE(Q$43:Q$55,1)</f>
        <v>#VALUE!</v>
      </c>
      <c r="S30" s="210" t="e">
        <f>IF(Q56&lt;100,(R30+0.1),IF(Q56&gt;100,(R30-0.1),R30))</f>
        <v>#VALUE!</v>
      </c>
      <c r="T30" s="208"/>
      <c r="U30" s="208"/>
      <c r="V30" s="208"/>
      <c r="W30" s="208"/>
      <c r="AF30" s="61"/>
    </row>
    <row r="31" spans="1:33" hidden="1" x14ac:dyDescent="0.2">
      <c r="A31" s="89"/>
      <c r="B31" s="330"/>
      <c r="C31" s="331"/>
      <c r="D31" s="91"/>
      <c r="E31" s="92"/>
      <c r="F31" s="93"/>
      <c r="G31" s="75"/>
      <c r="H31" s="75"/>
      <c r="I31" s="76"/>
      <c r="J31" s="76"/>
      <c r="K31" s="89"/>
      <c r="L31" s="89"/>
      <c r="M31" s="205"/>
      <c r="N31" s="205"/>
      <c r="O31" s="206"/>
      <c r="P31" s="209"/>
      <c r="Q31" s="210" t="e">
        <f>IF(Q$56=100,(Q47),IF(R$56=100,(R47),IF(S$56=100,(S47),IF(T$56=100,(T47),IF(U$56=100,(U47),IF(V$56=100,(V47),IF(W56=100,(W47),(W47))))))))</f>
        <v>#VALUE!</v>
      </c>
      <c r="R31" s="210" t="e">
        <f>LARGE(Q$43:Q$55,2)</f>
        <v>#VALUE!</v>
      </c>
      <c r="S31" s="210" t="e">
        <f>IF(R56&lt;100,(R31+0.1),IF(R56&gt;100,(R31-0.1),R31))</f>
        <v>#VALUE!</v>
      </c>
      <c r="T31" s="208"/>
      <c r="U31" s="208"/>
      <c r="V31" s="208"/>
      <c r="W31" s="208"/>
      <c r="AF31" s="61"/>
    </row>
    <row r="32" spans="1:33" hidden="1" x14ac:dyDescent="0.2">
      <c r="A32" s="89"/>
      <c r="B32" s="330"/>
      <c r="C32" s="331"/>
      <c r="D32" s="86"/>
      <c r="E32" s="93"/>
      <c r="F32" s="101"/>
      <c r="G32" s="75"/>
      <c r="H32" s="81"/>
      <c r="I32" s="81"/>
      <c r="J32" s="81"/>
      <c r="K32" s="89"/>
      <c r="L32" s="89"/>
      <c r="M32" s="205"/>
      <c r="N32" s="205"/>
      <c r="O32" s="206"/>
      <c r="P32" s="206"/>
      <c r="Q32" s="210" t="e">
        <f>IF(Q$56=100,(Q48),IF(R$56=100,(R48),IF(S$56=100,(S48),IF(T$56=100,(T48),IF(U$56=100,(U48),IF(V$56=100,(V48),IF(W56=100,(W48),(W48))))))))</f>
        <v>#VALUE!</v>
      </c>
      <c r="R32" s="210" t="e">
        <f>LARGE(Q$43:Q$55,3)</f>
        <v>#VALUE!</v>
      </c>
      <c r="S32" s="210" t="e">
        <f>IF(S56&lt;100,(R32+0.1),IF(S56&gt;100,(R32-0.1),R32))</f>
        <v>#VALUE!</v>
      </c>
      <c r="T32" s="208"/>
      <c r="U32" s="208"/>
      <c r="V32" s="208"/>
      <c r="W32" s="208"/>
      <c r="AF32" s="61"/>
    </row>
    <row r="33" spans="1:32" hidden="1" x14ac:dyDescent="0.2">
      <c r="A33" s="89"/>
      <c r="B33" s="89"/>
      <c r="C33" s="89"/>
      <c r="D33" s="89"/>
      <c r="E33" s="102"/>
      <c r="F33" s="102"/>
      <c r="G33" s="102"/>
      <c r="H33" s="102"/>
      <c r="I33" s="102"/>
      <c r="J33" s="102"/>
      <c r="K33" s="89"/>
      <c r="L33" s="89"/>
      <c r="M33" s="205"/>
      <c r="N33" s="205"/>
      <c r="O33" s="206"/>
      <c r="P33" s="206"/>
      <c r="Q33" s="210" t="e">
        <f>IF(Q$56=100,(Q49),IF(R$56=100,(R49),IF(S$56=100,(S49),IF(T$56=100,(T49),IF(U$56=100,(U49),IF(V$56=100,(V49),IF(W56=100,(W49),(W49))))))))</f>
        <v>#VALUE!</v>
      </c>
      <c r="R33" s="210" t="e">
        <f>LARGE(Q$43:Q$55,4)</f>
        <v>#VALUE!</v>
      </c>
      <c r="S33" s="210" t="e">
        <f>IF(T56&lt;100,(R33+0.1),IF(T56&gt;100,(R33-0.1),R33))</f>
        <v>#VALUE!</v>
      </c>
      <c r="T33" s="208"/>
      <c r="U33" s="208"/>
      <c r="V33" s="208"/>
      <c r="W33" s="208"/>
      <c r="AF33" s="61"/>
    </row>
    <row r="34" spans="1:32" hidden="1" x14ac:dyDescent="0.2">
      <c r="A34" s="89"/>
      <c r="B34" s="89"/>
      <c r="C34" s="89"/>
      <c r="D34" s="89"/>
      <c r="E34" s="102"/>
      <c r="F34" s="102"/>
      <c r="G34" s="102"/>
      <c r="H34" s="102"/>
      <c r="I34" s="102"/>
      <c r="J34" s="102"/>
      <c r="K34" s="89"/>
      <c r="L34" s="89"/>
      <c r="M34" s="205"/>
      <c r="N34" s="205"/>
      <c r="O34" s="206"/>
      <c r="P34" s="206"/>
      <c r="Q34" s="210" t="e">
        <f>IF(Q$56=100,(Q50),IF(R$56=100,(R50),IF(S$56=100,(S50),IF(T$56=100,(T50),IF(U$56=100,(U50),IF(V$56=100,(V50),IF(W56=100,(W50),(W50))))))))</f>
        <v>#VALUE!</v>
      </c>
      <c r="R34" s="210" t="e">
        <f>LARGE(Q$43:Q$55,5)</f>
        <v>#VALUE!</v>
      </c>
      <c r="S34" s="210" t="e">
        <f>IF(U56&lt;100,(R34+0.1),IF(U56&gt;100,(R34-0.1),R34))</f>
        <v>#VALUE!</v>
      </c>
      <c r="AF34" s="61"/>
    </row>
    <row r="35" spans="1:32" ht="15.75" hidden="1" thickBot="1" x14ac:dyDescent="0.25">
      <c r="A35" s="89"/>
      <c r="B35" s="103" t="s">
        <v>80</v>
      </c>
      <c r="C35" s="104"/>
      <c r="D35" s="104"/>
      <c r="E35" s="105"/>
      <c r="F35" s="106" t="s">
        <v>81</v>
      </c>
      <c r="G35" s="107"/>
      <c r="H35" s="108" t="s">
        <v>82</v>
      </c>
      <c r="I35" s="109"/>
      <c r="J35" s="110"/>
      <c r="K35" s="34"/>
      <c r="L35" s="34"/>
      <c r="M35" s="211"/>
      <c r="N35" s="205"/>
      <c r="O35" s="206"/>
      <c r="P35" s="206"/>
      <c r="Q35" s="210" t="e">
        <f>IF(Q$56=100,(Q51),IF(R$56=100,(R51),IF(S$56=100,(S51),IF(T$56=100,(T51),IF(U$56=100,(U51),IF(V$56=100,(V51),IF(W56=100,(W51),(W51))))))))</f>
        <v>#VALUE!</v>
      </c>
      <c r="R35" s="210" t="e">
        <f>LARGE(Q$43:Q$55,6)</f>
        <v>#VALUE!</v>
      </c>
      <c r="S35" s="210" t="e">
        <f>IF(V56&lt;100,(R35+0.1),IF(V56&gt;100,(R35-0.1),R35))</f>
        <v>#VALUE!</v>
      </c>
      <c r="AF35" s="61"/>
    </row>
    <row r="36" spans="1:32" hidden="1" x14ac:dyDescent="0.2">
      <c r="A36" s="89"/>
      <c r="B36" s="112"/>
      <c r="C36" s="113"/>
      <c r="D36" s="114" t="s">
        <v>90</v>
      </c>
      <c r="E36" s="115"/>
      <c r="F36" s="116"/>
      <c r="G36" s="117"/>
      <c r="H36" s="117"/>
      <c r="I36" s="101"/>
      <c r="J36" s="101"/>
      <c r="K36" s="31"/>
      <c r="L36" s="31"/>
      <c r="M36" s="205"/>
      <c r="N36" s="205"/>
      <c r="O36" s="206"/>
      <c r="P36" s="206"/>
      <c r="Q36" s="210" t="e">
        <f>IF(Q$56=100,(Q52),IF(R$56=100,(R52),IF(S$56=100,(S52),IF(T$56=100,(T52),IF(U$56=100,(U52),IF(V$56=100,(V52),IF(W56=100,(W52),(W52))))))))</f>
        <v>#VALUE!</v>
      </c>
      <c r="R36" s="208"/>
      <c r="S36" s="208"/>
      <c r="U36" s="208"/>
      <c r="V36" s="208"/>
      <c r="W36" s="208"/>
      <c r="AF36" s="61"/>
    </row>
    <row r="37" spans="1:32" ht="15.75" hidden="1" thickBot="1" x14ac:dyDescent="0.25">
      <c r="A37" s="89"/>
      <c r="B37" s="112"/>
      <c r="C37" s="113"/>
      <c r="D37" s="114" t="s">
        <v>93</v>
      </c>
      <c r="E37" s="119"/>
      <c r="F37" s="116"/>
      <c r="G37" s="120"/>
      <c r="H37" s="116" t="s">
        <v>130</v>
      </c>
      <c r="I37" s="101"/>
      <c r="J37" s="101"/>
      <c r="K37" s="31"/>
      <c r="L37" s="31"/>
      <c r="M37" s="205"/>
      <c r="N37" s="205"/>
      <c r="O37" s="206"/>
      <c r="P37" s="206"/>
      <c r="Q37" s="210" t="e">
        <f>IF(Q$56=100,(Q53),IF(R$56=100,(R53),IF(S$56=100,(S53),IF(T$56=100,(T53),IF(U$56=100,(U53),IF(V$56=100,(V53),IF(W56=100,(W53),(W53))))))))</f>
        <v>#VALUE!</v>
      </c>
      <c r="R37" s="208"/>
      <c r="U37" s="208"/>
      <c r="V37" s="208"/>
      <c r="W37" s="208"/>
      <c r="AF37" s="61"/>
    </row>
    <row r="38" spans="1:32" hidden="1" x14ac:dyDescent="0.2">
      <c r="A38" s="89"/>
      <c r="B38" s="112"/>
      <c r="C38" s="113"/>
      <c r="D38" s="114" t="s">
        <v>131</v>
      </c>
      <c r="E38" s="121"/>
      <c r="F38" s="116"/>
      <c r="G38" s="116"/>
      <c r="H38" s="116" t="s">
        <v>132</v>
      </c>
      <c r="I38" s="101"/>
      <c r="J38" s="101"/>
      <c r="K38" s="31"/>
      <c r="L38" s="31"/>
      <c r="M38" s="205"/>
      <c r="N38" s="205"/>
      <c r="O38" s="206"/>
      <c r="P38" s="206"/>
      <c r="Q38" s="210" t="e">
        <f>IF(Q$56=100,(Q54),IF(R$56=100,(R54),IF(S$56=100,(S54),IF(T$56=100,(T54),IF(U$56=100,(U54),IF(V$56=100,(V54),IF(W56=100,(W54),(W54))))))))</f>
        <v>#VALUE!</v>
      </c>
      <c r="R38" s="208"/>
      <c r="S38" s="208"/>
      <c r="U38" s="208"/>
      <c r="V38" s="208"/>
      <c r="W38" s="208"/>
      <c r="AF38" s="61"/>
    </row>
    <row r="39" spans="1:32" hidden="1" x14ac:dyDescent="0.2">
      <c r="A39" s="89"/>
      <c r="B39" s="112"/>
      <c r="C39" s="122"/>
      <c r="D39" s="114" t="s">
        <v>133</v>
      </c>
      <c r="E39" s="121"/>
      <c r="F39" s="116"/>
      <c r="G39" s="117"/>
      <c r="H39" s="117"/>
      <c r="I39" s="101"/>
      <c r="J39" s="101"/>
      <c r="K39" s="31"/>
      <c r="L39" s="31"/>
      <c r="M39" s="205"/>
      <c r="N39" s="205"/>
      <c r="O39" s="206"/>
      <c r="P39" s="206"/>
      <c r="Q39" s="210" t="e">
        <f>IF(Q$56=100,(Q55),IF(R$56=100,(R55),IF(S$56=100,(S55),IF(T$56=100,(T55),IF(U$56=100,(U55),IF(V$56=100,(V55),IF(W56=100,(W55),(W55))))))))</f>
        <v>#VALUE!</v>
      </c>
      <c r="R39" s="208"/>
      <c r="S39" s="208"/>
      <c r="U39" s="208"/>
      <c r="V39" s="208"/>
      <c r="W39" s="208"/>
      <c r="AF39" s="61"/>
    </row>
    <row r="40" spans="1:32" hidden="1" x14ac:dyDescent="0.2">
      <c r="A40" s="89"/>
      <c r="B40" s="123"/>
      <c r="C40" s="124" t="s">
        <v>99</v>
      </c>
      <c r="D40" s="125"/>
      <c r="E40" s="126" t="str">
        <f>IF(E39="","",ROUND(SUM(E38/E39),4))</f>
        <v/>
      </c>
      <c r="F40" s="116"/>
      <c r="G40" s="116"/>
      <c r="H40" s="116"/>
      <c r="I40" s="116"/>
      <c r="J40" s="116"/>
      <c r="K40" s="31"/>
      <c r="L40" s="31"/>
      <c r="M40" s="212"/>
      <c r="N40" s="212"/>
      <c r="O40" s="209"/>
      <c r="P40" s="209"/>
      <c r="Q40" s="210" t="e">
        <f>SUM(Q26:Q39)</f>
        <v>#VALUE!</v>
      </c>
      <c r="T40" s="208"/>
      <c r="U40" s="208"/>
      <c r="V40" s="208"/>
      <c r="W40" s="208"/>
      <c r="AF40" s="61"/>
    </row>
    <row r="41" spans="1:32" hidden="1" x14ac:dyDescent="0.2">
      <c r="A41" s="89"/>
      <c r="B41" s="332"/>
      <c r="C41" s="333"/>
      <c r="D41" s="127" t="s">
        <v>101</v>
      </c>
      <c r="E41" s="128" t="s">
        <v>102</v>
      </c>
      <c r="F41" s="129" t="s">
        <v>57</v>
      </c>
      <c r="G41" s="129" t="s">
        <v>57</v>
      </c>
      <c r="H41" s="130" t="s">
        <v>103</v>
      </c>
      <c r="I41" s="131"/>
      <c r="J41" s="131"/>
      <c r="K41" s="34"/>
      <c r="L41" s="34"/>
      <c r="M41" s="205"/>
      <c r="N41" s="205"/>
      <c r="O41" s="206"/>
      <c r="P41" s="206"/>
      <c r="Q41" s="210" t="s">
        <v>57</v>
      </c>
      <c r="AF41" s="61"/>
    </row>
    <row r="42" spans="1:32" hidden="1" x14ac:dyDescent="0.2">
      <c r="A42" s="89"/>
      <c r="B42" s="334" t="s">
        <v>110</v>
      </c>
      <c r="C42" s="335"/>
      <c r="D42" s="132" t="s">
        <v>134</v>
      </c>
      <c r="E42" s="133" t="s">
        <v>111</v>
      </c>
      <c r="F42" s="133" t="s">
        <v>112</v>
      </c>
      <c r="G42" s="133" t="s">
        <v>113</v>
      </c>
      <c r="H42" s="134" t="s">
        <v>114</v>
      </c>
      <c r="I42" s="131"/>
      <c r="J42" s="131"/>
      <c r="K42" s="89"/>
      <c r="L42" s="89"/>
      <c r="M42" s="205"/>
      <c r="N42" s="205"/>
      <c r="O42" s="206"/>
      <c r="P42" s="206"/>
      <c r="Q42" s="210" t="s">
        <v>112</v>
      </c>
      <c r="AF42" s="61"/>
    </row>
    <row r="43" spans="1:32" hidden="1" x14ac:dyDescent="0.2">
      <c r="A43" s="89"/>
      <c r="B43" s="135" t="s">
        <v>29</v>
      </c>
      <c r="C43" s="136" t="s">
        <v>135</v>
      </c>
      <c r="D43" s="137"/>
      <c r="E43" s="138"/>
      <c r="F43" s="139" t="str">
        <f>IF(E43="","",(Q43))</f>
        <v/>
      </c>
      <c r="G43" s="140" t="str">
        <f>IF(F57="","",100)</f>
        <v/>
      </c>
      <c r="H43" s="141" t="str">
        <f>IF(G43="","",IF(G43&gt;=10,ROUND(G43,0),ROUND(G43,1)))</f>
        <v/>
      </c>
      <c r="I43" s="95"/>
      <c r="J43" s="95"/>
      <c r="K43" s="89"/>
      <c r="L43" s="89"/>
      <c r="M43" s="205"/>
      <c r="N43" s="205"/>
      <c r="O43" s="206"/>
      <c r="P43" s="206"/>
      <c r="Q43" s="210" t="e">
        <f t="shared" ref="Q43:Q54" si="22">ROUND(IF(E43="","",SUM(E43/$E$36)*100),1)</f>
        <v>#VALUE!</v>
      </c>
      <c r="R43" s="210" t="s">
        <v>120</v>
      </c>
      <c r="S43" s="210">
        <v>2</v>
      </c>
      <c r="T43" s="210" t="s">
        <v>121</v>
      </c>
      <c r="U43" s="210" t="s">
        <v>122</v>
      </c>
      <c r="V43" s="210" t="s">
        <v>123</v>
      </c>
      <c r="W43" s="210">
        <v>6</v>
      </c>
      <c r="AF43" s="61"/>
    </row>
    <row r="44" spans="1:32" hidden="1" x14ac:dyDescent="0.2">
      <c r="A44" s="89"/>
      <c r="B44" s="135" t="s">
        <v>136</v>
      </c>
      <c r="C44" s="136" t="s">
        <v>137</v>
      </c>
      <c r="D44" s="137"/>
      <c r="E44" s="138"/>
      <c r="F44" s="139" t="str">
        <f>IF(E44="","",(Q28))</f>
        <v/>
      </c>
      <c r="G44" s="139" t="str">
        <f>IF(G43="","",SUM(G43-F44))</f>
        <v/>
      </c>
      <c r="H44" s="141" t="str">
        <f t="shared" ref="H44:H54" si="23">IF(G44="","",IF(G44&gt;=10,ROUND(G44,0),ROUND(G44,1)))</f>
        <v/>
      </c>
      <c r="I44" s="95"/>
      <c r="J44" s="95"/>
      <c r="K44" s="89"/>
      <c r="L44" s="89"/>
      <c r="M44" s="205"/>
      <c r="N44" s="205"/>
      <c r="O44" s="206"/>
      <c r="P44" s="206"/>
      <c r="Q44" s="210" t="e">
        <f t="shared" si="22"/>
        <v>#VALUE!</v>
      </c>
      <c r="R44" s="210" t="e">
        <f t="shared" ref="R44:R55" si="24">ROUND(IF(Q44=R$30,S$30,Q44),1)</f>
        <v>#VALUE!</v>
      </c>
      <c r="S44" s="210" t="e">
        <f t="shared" ref="S44:S55" si="25">ROUND(IF(R44=R$31,S$31,R44),1)</f>
        <v>#VALUE!</v>
      </c>
      <c r="T44" s="210" t="e">
        <f t="shared" ref="T44:T54" si="26">ROUND(IF(S44=R$32,S$32,S44),1)</f>
        <v>#VALUE!</v>
      </c>
      <c r="U44" s="210" t="e">
        <f t="shared" ref="U44:U54" si="27">ROUND(IF(T44=R$33,S$33,T44),1)</f>
        <v>#VALUE!</v>
      </c>
      <c r="V44" s="210" t="e">
        <f t="shared" ref="V44:V54" si="28">ROUND(IF(U44=R$34,S$34,U44),1)</f>
        <v>#VALUE!</v>
      </c>
      <c r="W44" s="210" t="e">
        <f t="shared" ref="W44:W54" si="29">ROUND(IF(V44=R$35,S$35,V44),1)</f>
        <v>#VALUE!</v>
      </c>
      <c r="AF44" s="61"/>
    </row>
    <row r="45" spans="1:32" hidden="1" x14ac:dyDescent="0.2">
      <c r="A45" s="89"/>
      <c r="B45" s="135" t="s">
        <v>31</v>
      </c>
      <c r="C45" s="136" t="s">
        <v>138</v>
      </c>
      <c r="D45" s="137"/>
      <c r="E45" s="138"/>
      <c r="F45" s="139" t="str">
        <f>IF(E45="","",(Q29))</f>
        <v/>
      </c>
      <c r="G45" s="139" t="str">
        <f t="shared" ref="G45:G52" si="30">IF(G44="","",SUM(G44-F45))</f>
        <v/>
      </c>
      <c r="H45" s="141" t="str">
        <f t="shared" si="23"/>
        <v/>
      </c>
      <c r="I45" s="95"/>
      <c r="J45" s="95"/>
      <c r="K45" s="89"/>
      <c r="L45" s="89"/>
      <c r="M45" s="205"/>
      <c r="N45" s="205"/>
      <c r="O45" s="206"/>
      <c r="P45" s="206"/>
      <c r="Q45" s="210" t="e">
        <f t="shared" si="22"/>
        <v>#VALUE!</v>
      </c>
      <c r="R45" s="210" t="e">
        <f t="shared" si="24"/>
        <v>#VALUE!</v>
      </c>
      <c r="S45" s="210" t="e">
        <f t="shared" si="25"/>
        <v>#VALUE!</v>
      </c>
      <c r="T45" s="210" t="e">
        <f t="shared" si="26"/>
        <v>#VALUE!</v>
      </c>
      <c r="U45" s="210" t="e">
        <f t="shared" si="27"/>
        <v>#VALUE!</v>
      </c>
      <c r="V45" s="210" t="e">
        <f t="shared" si="28"/>
        <v>#VALUE!</v>
      </c>
      <c r="W45" s="210" t="e">
        <f t="shared" si="29"/>
        <v>#VALUE!</v>
      </c>
      <c r="AF45" s="61"/>
    </row>
    <row r="46" spans="1:32" hidden="1" x14ac:dyDescent="0.2">
      <c r="A46" s="89"/>
      <c r="B46" s="135" t="s">
        <v>32</v>
      </c>
      <c r="C46" s="136" t="s">
        <v>139</v>
      </c>
      <c r="D46" s="137"/>
      <c r="E46" s="138"/>
      <c r="F46" s="139" t="str">
        <f>IF(E46="","",(Q30))</f>
        <v/>
      </c>
      <c r="G46" s="139" t="str">
        <f t="shared" si="30"/>
        <v/>
      </c>
      <c r="H46" s="141" t="str">
        <f t="shared" si="23"/>
        <v/>
      </c>
      <c r="I46" s="95"/>
      <c r="J46" s="95"/>
      <c r="K46" s="89"/>
      <c r="L46" s="89"/>
      <c r="M46" s="205"/>
      <c r="N46" s="205"/>
      <c r="O46" s="206"/>
      <c r="P46" s="206"/>
      <c r="Q46" s="210" t="e">
        <f t="shared" si="22"/>
        <v>#VALUE!</v>
      </c>
      <c r="R46" s="210" t="e">
        <f t="shared" si="24"/>
        <v>#VALUE!</v>
      </c>
      <c r="S46" s="210" t="e">
        <f t="shared" si="25"/>
        <v>#VALUE!</v>
      </c>
      <c r="T46" s="210" t="e">
        <f t="shared" si="26"/>
        <v>#VALUE!</v>
      </c>
      <c r="U46" s="210" t="e">
        <f t="shared" si="27"/>
        <v>#VALUE!</v>
      </c>
      <c r="V46" s="210" t="e">
        <f t="shared" si="28"/>
        <v>#VALUE!</v>
      </c>
      <c r="W46" s="210" t="e">
        <f t="shared" si="29"/>
        <v>#VALUE!</v>
      </c>
      <c r="AF46" s="61"/>
    </row>
    <row r="47" spans="1:32" hidden="1" x14ac:dyDescent="0.2">
      <c r="A47" s="89"/>
      <c r="B47" s="135" t="s">
        <v>33</v>
      </c>
      <c r="C47" s="136" t="s">
        <v>140</v>
      </c>
      <c r="D47" s="137"/>
      <c r="E47" s="138"/>
      <c r="F47" s="139" t="str">
        <f>IF(E47="","",(Q31))</f>
        <v/>
      </c>
      <c r="G47" s="139" t="str">
        <f t="shared" si="30"/>
        <v/>
      </c>
      <c r="H47" s="141" t="str">
        <f t="shared" si="23"/>
        <v/>
      </c>
      <c r="I47" s="95"/>
      <c r="J47" s="95"/>
      <c r="K47" s="89"/>
      <c r="L47" s="89"/>
      <c r="M47" s="205"/>
      <c r="N47" s="205"/>
      <c r="O47" s="206"/>
      <c r="P47" s="206"/>
      <c r="Q47" s="210" t="e">
        <f t="shared" si="22"/>
        <v>#VALUE!</v>
      </c>
      <c r="R47" s="210" t="e">
        <f t="shared" si="24"/>
        <v>#VALUE!</v>
      </c>
      <c r="S47" s="210" t="e">
        <f t="shared" si="25"/>
        <v>#VALUE!</v>
      </c>
      <c r="T47" s="210" t="e">
        <f t="shared" si="26"/>
        <v>#VALUE!</v>
      </c>
      <c r="U47" s="210" t="e">
        <f t="shared" si="27"/>
        <v>#VALUE!</v>
      </c>
      <c r="V47" s="210" t="e">
        <f t="shared" si="28"/>
        <v>#VALUE!</v>
      </c>
      <c r="W47" s="210" t="e">
        <f t="shared" si="29"/>
        <v>#VALUE!</v>
      </c>
      <c r="AF47" s="61"/>
    </row>
    <row r="48" spans="1:32" hidden="1" x14ac:dyDescent="0.2">
      <c r="A48" s="89"/>
      <c r="B48" s="135" t="s">
        <v>141</v>
      </c>
      <c r="C48" s="136" t="s">
        <v>142</v>
      </c>
      <c r="D48" s="137"/>
      <c r="E48" s="138"/>
      <c r="F48" s="139" t="str">
        <f>IF(E48="","",(Q32))</f>
        <v/>
      </c>
      <c r="G48" s="139" t="str">
        <f t="shared" si="30"/>
        <v/>
      </c>
      <c r="H48" s="141" t="str">
        <f t="shared" si="23"/>
        <v/>
      </c>
      <c r="I48" s="95"/>
      <c r="J48" s="95"/>
      <c r="K48" s="89"/>
      <c r="L48" s="89"/>
      <c r="M48" s="205"/>
      <c r="N48" s="205"/>
      <c r="O48" s="206"/>
      <c r="P48" s="206"/>
      <c r="Q48" s="210" t="e">
        <f t="shared" si="22"/>
        <v>#VALUE!</v>
      </c>
      <c r="R48" s="210" t="e">
        <f t="shared" si="24"/>
        <v>#VALUE!</v>
      </c>
      <c r="S48" s="210" t="e">
        <f t="shared" si="25"/>
        <v>#VALUE!</v>
      </c>
      <c r="T48" s="210" t="e">
        <f t="shared" si="26"/>
        <v>#VALUE!</v>
      </c>
      <c r="U48" s="210" t="e">
        <f t="shared" si="27"/>
        <v>#VALUE!</v>
      </c>
      <c r="V48" s="210" t="e">
        <f t="shared" si="28"/>
        <v>#VALUE!</v>
      </c>
      <c r="W48" s="210" t="e">
        <f t="shared" si="29"/>
        <v>#VALUE!</v>
      </c>
      <c r="AF48" s="61"/>
    </row>
    <row r="49" spans="1:32" hidden="1" x14ac:dyDescent="0.2">
      <c r="A49" s="89"/>
      <c r="B49" s="135" t="s">
        <v>143</v>
      </c>
      <c r="C49" s="136" t="s">
        <v>144</v>
      </c>
      <c r="D49" s="142"/>
      <c r="E49" s="138" t="str">
        <f>IF(D49="","",ROUND(SUM(D49*E$40),1))</f>
        <v/>
      </c>
      <c r="F49" s="139" t="str">
        <f t="shared" ref="F49:F55" si="31">IF(E49="","",(Q33))</f>
        <v/>
      </c>
      <c r="G49" s="139" t="str">
        <f t="shared" si="30"/>
        <v/>
      </c>
      <c r="H49" s="141" t="str">
        <f t="shared" si="23"/>
        <v/>
      </c>
      <c r="I49" s="95"/>
      <c r="J49" s="95"/>
      <c r="K49" s="89"/>
      <c r="L49" s="89"/>
      <c r="M49" s="205"/>
      <c r="N49" s="205"/>
      <c r="O49" s="206"/>
      <c r="P49" s="209"/>
      <c r="Q49" s="210" t="e">
        <f t="shared" si="22"/>
        <v>#VALUE!</v>
      </c>
      <c r="R49" s="210" t="e">
        <f t="shared" si="24"/>
        <v>#VALUE!</v>
      </c>
      <c r="S49" s="210" t="e">
        <f t="shared" si="25"/>
        <v>#VALUE!</v>
      </c>
      <c r="T49" s="210" t="e">
        <f t="shared" si="26"/>
        <v>#VALUE!</v>
      </c>
      <c r="U49" s="210" t="e">
        <f t="shared" si="27"/>
        <v>#VALUE!</v>
      </c>
      <c r="V49" s="210" t="e">
        <f t="shared" si="28"/>
        <v>#VALUE!</v>
      </c>
      <c r="W49" s="210" t="e">
        <f t="shared" si="29"/>
        <v>#VALUE!</v>
      </c>
      <c r="AF49" s="61"/>
    </row>
    <row r="50" spans="1:32" hidden="1" x14ac:dyDescent="0.2">
      <c r="A50" s="89"/>
      <c r="B50" s="135" t="s">
        <v>145</v>
      </c>
      <c r="C50" s="136" t="s">
        <v>146</v>
      </c>
      <c r="D50" s="142"/>
      <c r="E50" s="138" t="str">
        <f t="shared" ref="E50:E55" si="32">IF(D50="","",ROUND(SUM(D50*E$40),1))</f>
        <v/>
      </c>
      <c r="F50" s="139" t="str">
        <f t="shared" si="31"/>
        <v/>
      </c>
      <c r="G50" s="139" t="str">
        <f t="shared" si="30"/>
        <v/>
      </c>
      <c r="H50" s="141" t="str">
        <f t="shared" si="23"/>
        <v/>
      </c>
      <c r="I50" s="95"/>
      <c r="J50" s="95"/>
      <c r="K50" s="89"/>
      <c r="L50" s="89"/>
      <c r="M50" s="205"/>
      <c r="N50" s="205"/>
      <c r="O50" s="206"/>
      <c r="P50" s="206"/>
      <c r="Q50" s="210" t="e">
        <f t="shared" si="22"/>
        <v>#VALUE!</v>
      </c>
      <c r="R50" s="210" t="e">
        <f t="shared" si="24"/>
        <v>#VALUE!</v>
      </c>
      <c r="S50" s="210" t="e">
        <f t="shared" si="25"/>
        <v>#VALUE!</v>
      </c>
      <c r="T50" s="210" t="e">
        <f t="shared" si="26"/>
        <v>#VALUE!</v>
      </c>
      <c r="U50" s="210" t="e">
        <f t="shared" si="27"/>
        <v>#VALUE!</v>
      </c>
      <c r="V50" s="210" t="e">
        <f t="shared" si="28"/>
        <v>#VALUE!</v>
      </c>
      <c r="W50" s="210" t="e">
        <f t="shared" si="29"/>
        <v>#VALUE!</v>
      </c>
      <c r="AF50" s="61"/>
    </row>
    <row r="51" spans="1:32" hidden="1" x14ac:dyDescent="0.2">
      <c r="A51" s="89"/>
      <c r="B51" s="135" t="s">
        <v>147</v>
      </c>
      <c r="C51" s="136" t="str">
        <f>"600 "&amp;CHAR(181)&amp;"m"</f>
        <v>600 µm</v>
      </c>
      <c r="D51" s="142"/>
      <c r="E51" s="138" t="str">
        <f t="shared" si="32"/>
        <v/>
      </c>
      <c r="F51" s="139" t="str">
        <f t="shared" si="31"/>
        <v/>
      </c>
      <c r="G51" s="139" t="str">
        <f t="shared" si="30"/>
        <v/>
      </c>
      <c r="H51" s="141" t="str">
        <f t="shared" si="23"/>
        <v/>
      </c>
      <c r="I51" s="95"/>
      <c r="J51" s="95"/>
      <c r="K51" s="89"/>
      <c r="L51" s="89"/>
      <c r="M51" s="205"/>
      <c r="N51" s="205"/>
      <c r="O51" s="206"/>
      <c r="P51" s="206"/>
      <c r="Q51" s="210" t="e">
        <f t="shared" si="22"/>
        <v>#VALUE!</v>
      </c>
      <c r="R51" s="210" t="e">
        <f t="shared" si="24"/>
        <v>#VALUE!</v>
      </c>
      <c r="S51" s="210" t="e">
        <f t="shared" si="25"/>
        <v>#VALUE!</v>
      </c>
      <c r="T51" s="210" t="e">
        <f t="shared" si="26"/>
        <v>#VALUE!</v>
      </c>
      <c r="U51" s="210" t="e">
        <f t="shared" si="27"/>
        <v>#VALUE!</v>
      </c>
      <c r="V51" s="210" t="e">
        <f t="shared" si="28"/>
        <v>#VALUE!</v>
      </c>
      <c r="W51" s="210" t="e">
        <f t="shared" si="29"/>
        <v>#VALUE!</v>
      </c>
      <c r="AF51" s="61"/>
    </row>
    <row r="52" spans="1:32" hidden="1" x14ac:dyDescent="0.2">
      <c r="A52" s="89"/>
      <c r="B52" s="135" t="s">
        <v>148</v>
      </c>
      <c r="C52" s="136" t="str">
        <f>"300 "&amp;CHAR(181)&amp;"m"</f>
        <v>300 µm</v>
      </c>
      <c r="D52" s="142"/>
      <c r="E52" s="138" t="str">
        <f t="shared" si="32"/>
        <v/>
      </c>
      <c r="F52" s="139" t="str">
        <f t="shared" si="31"/>
        <v/>
      </c>
      <c r="G52" s="139" t="str">
        <f t="shared" si="30"/>
        <v/>
      </c>
      <c r="H52" s="141" t="str">
        <f t="shared" si="23"/>
        <v/>
      </c>
      <c r="I52" s="95"/>
      <c r="J52" s="95"/>
      <c r="K52" s="89"/>
      <c r="L52" s="89"/>
      <c r="M52" s="205"/>
      <c r="N52" s="205"/>
      <c r="O52" s="206"/>
      <c r="P52" s="209"/>
      <c r="Q52" s="210" t="e">
        <f t="shared" si="22"/>
        <v>#VALUE!</v>
      </c>
      <c r="R52" s="210" t="e">
        <f t="shared" si="24"/>
        <v>#VALUE!</v>
      </c>
      <c r="S52" s="210" t="e">
        <f t="shared" si="25"/>
        <v>#VALUE!</v>
      </c>
      <c r="T52" s="210" t="e">
        <f t="shared" si="26"/>
        <v>#VALUE!</v>
      </c>
      <c r="U52" s="210" t="e">
        <f t="shared" si="27"/>
        <v>#VALUE!</v>
      </c>
      <c r="V52" s="210" t="e">
        <f t="shared" si="28"/>
        <v>#VALUE!</v>
      </c>
      <c r="W52" s="210" t="e">
        <f t="shared" si="29"/>
        <v>#VALUE!</v>
      </c>
      <c r="AF52" s="61"/>
    </row>
    <row r="53" spans="1:32" hidden="1" x14ac:dyDescent="0.2">
      <c r="A53" s="89"/>
      <c r="B53" s="135" t="s">
        <v>149</v>
      </c>
      <c r="C53" s="136" t="str">
        <f>"150 "&amp;CHAR(181)&amp;"m"</f>
        <v>150 µm</v>
      </c>
      <c r="D53" s="142"/>
      <c r="E53" s="138" t="str">
        <f t="shared" si="32"/>
        <v/>
      </c>
      <c r="F53" s="139" t="str">
        <f t="shared" si="31"/>
        <v/>
      </c>
      <c r="G53" s="139" t="str">
        <f>IF(G52="","",SUM(G52-F53))</f>
        <v/>
      </c>
      <c r="H53" s="141" t="str">
        <f t="shared" si="23"/>
        <v/>
      </c>
      <c r="I53" s="95"/>
      <c r="J53" s="95"/>
      <c r="K53" s="89"/>
      <c r="L53" s="89"/>
      <c r="M53" s="205"/>
      <c r="N53" s="205"/>
      <c r="O53" s="206"/>
      <c r="P53" s="209"/>
      <c r="Q53" s="210" t="e">
        <f t="shared" si="22"/>
        <v>#VALUE!</v>
      </c>
      <c r="R53" s="210" t="e">
        <f t="shared" si="24"/>
        <v>#VALUE!</v>
      </c>
      <c r="S53" s="210" t="e">
        <f t="shared" si="25"/>
        <v>#VALUE!</v>
      </c>
      <c r="T53" s="210" t="e">
        <f t="shared" si="26"/>
        <v>#VALUE!</v>
      </c>
      <c r="U53" s="210" t="e">
        <f t="shared" si="27"/>
        <v>#VALUE!</v>
      </c>
      <c r="V53" s="210" t="e">
        <f t="shared" si="28"/>
        <v>#VALUE!</v>
      </c>
      <c r="W53" s="210" t="e">
        <f t="shared" si="29"/>
        <v>#VALUE!</v>
      </c>
      <c r="AF53" s="61"/>
    </row>
    <row r="54" spans="1:32" ht="15.75" hidden="1" thickBot="1" x14ac:dyDescent="0.25">
      <c r="A54" s="89"/>
      <c r="B54" s="135" t="s">
        <v>150</v>
      </c>
      <c r="C54" s="136" t="str">
        <f>"75 "&amp;CHAR(181)&amp;"m"</f>
        <v>75 µm</v>
      </c>
      <c r="D54" s="142"/>
      <c r="E54" s="138" t="str">
        <f t="shared" si="32"/>
        <v/>
      </c>
      <c r="F54" s="139" t="str">
        <f t="shared" si="31"/>
        <v/>
      </c>
      <c r="G54" s="143" t="str">
        <f>IF(G53="","",SUM(G53-F54))</f>
        <v/>
      </c>
      <c r="H54" s="144" t="str">
        <f t="shared" si="23"/>
        <v/>
      </c>
      <c r="I54" s="95"/>
      <c r="J54" s="95"/>
      <c r="K54" s="89"/>
      <c r="L54" s="89"/>
      <c r="M54" s="205"/>
      <c r="N54" s="205"/>
      <c r="O54" s="206"/>
      <c r="P54" s="209"/>
      <c r="Q54" s="210" t="e">
        <f t="shared" si="22"/>
        <v>#VALUE!</v>
      </c>
      <c r="R54" s="210" t="e">
        <f t="shared" si="24"/>
        <v>#VALUE!</v>
      </c>
      <c r="S54" s="210" t="e">
        <f t="shared" si="25"/>
        <v>#VALUE!</v>
      </c>
      <c r="T54" s="210" t="e">
        <f t="shared" si="26"/>
        <v>#VALUE!</v>
      </c>
      <c r="U54" s="210" t="e">
        <f t="shared" si="27"/>
        <v>#VALUE!</v>
      </c>
      <c r="V54" s="210" t="e">
        <f t="shared" si="28"/>
        <v>#VALUE!</v>
      </c>
      <c r="W54" s="210" t="e">
        <f t="shared" si="29"/>
        <v>#VALUE!</v>
      </c>
      <c r="AF54" s="61"/>
    </row>
    <row r="55" spans="1:32" ht="15.75" hidden="1" thickBot="1" x14ac:dyDescent="0.25">
      <c r="A55" s="89"/>
      <c r="B55" s="319" t="s">
        <v>126</v>
      </c>
      <c r="C55" s="320"/>
      <c r="D55" s="142"/>
      <c r="E55" s="138" t="str">
        <f t="shared" si="32"/>
        <v/>
      </c>
      <c r="F55" s="145" t="str">
        <f t="shared" si="31"/>
        <v/>
      </c>
      <c r="G55" s="75"/>
      <c r="H55" s="75"/>
      <c r="I55" s="76"/>
      <c r="J55" s="76"/>
      <c r="K55" s="89"/>
      <c r="L55" s="89"/>
      <c r="M55" s="205"/>
      <c r="N55" s="205"/>
      <c r="O55" s="206"/>
      <c r="P55" s="209"/>
      <c r="Q55" s="210" t="e">
        <f>ROUND(IF(E55="","",SUM((E55+E56)/$E$36)*100),1)</f>
        <v>#VALUE!</v>
      </c>
      <c r="R55" s="210" t="e">
        <f t="shared" si="24"/>
        <v>#VALUE!</v>
      </c>
      <c r="S55" s="210" t="e">
        <f t="shared" si="25"/>
        <v>#VALUE!</v>
      </c>
      <c r="T55" s="210" t="e">
        <f>ROUND(IF(S55=R$32,S$32,S55),1)</f>
        <v>#VALUE!</v>
      </c>
      <c r="U55" s="210" t="e">
        <f>ROUND(IF(T55=R$33,S$33,T55),1)</f>
        <v>#VALUE!</v>
      </c>
      <c r="V55" s="210" t="e">
        <f>ROUND(IF(U55=R$34,S$34,U55),1)</f>
        <v>#VALUE!</v>
      </c>
      <c r="W55" s="210" t="e">
        <f>ROUND(IF(V55=R$35,S$35,V55),1)</f>
        <v>#VALUE!</v>
      </c>
      <c r="AF55" s="61"/>
    </row>
    <row r="56" spans="1:32" ht="15.75" hidden="1" thickBot="1" x14ac:dyDescent="0.25">
      <c r="A56" s="89"/>
      <c r="B56" s="319" t="s">
        <v>127</v>
      </c>
      <c r="C56" s="320"/>
      <c r="D56" s="137"/>
      <c r="E56" s="146" t="str">
        <f>IF(E37="","",SUM(E36-E37))</f>
        <v/>
      </c>
      <c r="F56" s="147"/>
      <c r="G56" s="75"/>
      <c r="H56" s="81"/>
      <c r="I56" s="81"/>
      <c r="J56" s="81"/>
      <c r="K56" s="89"/>
      <c r="L56" s="89"/>
      <c r="M56" s="205"/>
      <c r="N56" s="205"/>
      <c r="O56" s="206"/>
      <c r="P56" s="206"/>
      <c r="Q56" s="210" t="e">
        <f>ROUND(SUM(Q43:Q55),1)</f>
        <v>#VALUE!</v>
      </c>
      <c r="R56" s="210" t="e">
        <f t="shared" ref="R56:W56" si="33">ROUND(IF(R55="","",SUM(R44:R55)),1)</f>
        <v>#VALUE!</v>
      </c>
      <c r="S56" s="210" t="e">
        <f t="shared" si="33"/>
        <v>#VALUE!</v>
      </c>
      <c r="T56" s="210" t="e">
        <f t="shared" si="33"/>
        <v>#VALUE!</v>
      </c>
      <c r="U56" s="210" t="e">
        <f t="shared" si="33"/>
        <v>#VALUE!</v>
      </c>
      <c r="V56" s="210" t="e">
        <f t="shared" si="33"/>
        <v>#VALUE!</v>
      </c>
      <c r="W56" s="210" t="e">
        <f t="shared" si="33"/>
        <v>#VALUE!</v>
      </c>
      <c r="AF56" s="61"/>
    </row>
    <row r="57" spans="1:32" ht="15.75" hidden="1" thickBot="1" x14ac:dyDescent="0.25">
      <c r="A57" s="89"/>
      <c r="B57" s="319" t="s">
        <v>128</v>
      </c>
      <c r="C57" s="320"/>
      <c r="D57" s="148" t="str">
        <f>IF(D55="","",SUM(D49:D55))</f>
        <v/>
      </c>
      <c r="E57" s="149" t="str">
        <f>IF(E55="","",SUM(E43:E56))</f>
        <v/>
      </c>
      <c r="F57" s="150" t="str">
        <f>IF(F55="","",SUM(F43:F55))</f>
        <v/>
      </c>
      <c r="G57" s="84"/>
      <c r="H57" s="81"/>
      <c r="I57" s="81"/>
      <c r="J57" s="81"/>
      <c r="K57" s="34"/>
      <c r="L57" s="34"/>
      <c r="M57" s="205"/>
      <c r="N57" s="205"/>
      <c r="O57" s="206"/>
      <c r="P57" s="206"/>
      <c r="AF57" s="61"/>
    </row>
    <row r="58" spans="1:32" ht="15.75" hidden="1" thickBot="1" x14ac:dyDescent="0.25">
      <c r="A58" s="89"/>
      <c r="B58" s="339" t="s">
        <v>129</v>
      </c>
      <c r="C58" s="340"/>
      <c r="D58" s="151" t="str">
        <f>IF(D57="","",ROUND((SUM(D57/E39)*100),1))</f>
        <v/>
      </c>
      <c r="E58" s="145" t="str">
        <f>IF(E57="","",ROUND((SUM(E57/E36)*100),1))</f>
        <v/>
      </c>
      <c r="F58" s="81"/>
      <c r="G58" s="81"/>
      <c r="H58" s="81"/>
      <c r="I58" s="81"/>
      <c r="J58" s="81"/>
      <c r="K58" s="34"/>
      <c r="L58" s="34"/>
      <c r="M58" s="205"/>
      <c r="N58" s="205"/>
      <c r="O58" s="206"/>
      <c r="P58" s="206"/>
      <c r="AF58" s="61"/>
    </row>
    <row r="59" spans="1:32" hidden="1" x14ac:dyDescent="0.2">
      <c r="A59" s="89"/>
      <c r="B59" s="89"/>
      <c r="C59" s="89"/>
      <c r="D59" s="89"/>
      <c r="E59" s="102"/>
      <c r="F59" s="102"/>
      <c r="G59" s="102"/>
      <c r="H59" s="102"/>
      <c r="I59" s="102"/>
      <c r="J59" s="102"/>
      <c r="K59" s="89"/>
      <c r="L59" s="89"/>
      <c r="M59" s="205"/>
      <c r="N59" s="205"/>
      <c r="O59" s="206"/>
      <c r="P59" s="206"/>
      <c r="AF59" s="61"/>
    </row>
    <row r="60" spans="1:32" hidden="1" x14ac:dyDescent="0.2">
      <c r="A60" s="89"/>
      <c r="B60" s="89"/>
      <c r="C60" s="89"/>
      <c r="D60" s="89"/>
      <c r="E60" s="102"/>
      <c r="F60" s="102"/>
      <c r="G60" s="102"/>
      <c r="H60" s="102"/>
      <c r="I60" s="102"/>
      <c r="J60" s="102"/>
      <c r="K60" s="89"/>
      <c r="L60" s="89"/>
      <c r="M60" s="205"/>
      <c r="N60" s="205"/>
      <c r="O60" s="206"/>
      <c r="P60" s="206"/>
      <c r="AF60" s="61"/>
    </row>
    <row r="61" spans="1:32" hidden="1" x14ac:dyDescent="0.2">
      <c r="A61" s="89"/>
      <c r="B61" s="89"/>
      <c r="C61" s="89"/>
      <c r="D61" s="89"/>
      <c r="E61" s="102"/>
      <c r="F61" s="102"/>
      <c r="G61" s="102"/>
      <c r="H61" s="102"/>
      <c r="I61" s="102"/>
      <c r="J61" s="102"/>
      <c r="K61" s="89"/>
      <c r="L61" s="89"/>
      <c r="M61" s="205"/>
      <c r="N61" s="205"/>
      <c r="O61" s="206"/>
      <c r="P61" s="206"/>
      <c r="AF61" s="61"/>
    </row>
    <row r="62" spans="1:32" hidden="1" x14ac:dyDescent="0.2">
      <c r="A62" s="89"/>
      <c r="B62" s="89"/>
      <c r="C62" s="89"/>
      <c r="D62" s="89"/>
      <c r="E62" s="102"/>
      <c r="F62" s="102"/>
      <c r="G62" s="102"/>
      <c r="H62" s="102"/>
      <c r="I62" s="102"/>
      <c r="J62" s="102"/>
      <c r="K62" s="89"/>
      <c r="L62" s="89"/>
      <c r="M62" s="205"/>
      <c r="N62" s="205"/>
      <c r="O62" s="206"/>
      <c r="P62" s="206"/>
      <c r="AF62" s="61"/>
    </row>
    <row r="63" spans="1:32" hidden="1" x14ac:dyDescent="0.2">
      <c r="A63" s="89"/>
      <c r="B63" s="89"/>
      <c r="C63" s="89"/>
      <c r="D63" s="89"/>
      <c r="E63" s="102"/>
      <c r="F63" s="102"/>
      <c r="G63" s="102"/>
      <c r="H63" s="102"/>
      <c r="I63" s="102"/>
      <c r="J63" s="102"/>
      <c r="K63" s="89"/>
      <c r="L63" s="89"/>
      <c r="M63" s="205"/>
      <c r="N63" s="205"/>
      <c r="O63" s="206"/>
      <c r="P63" s="206"/>
      <c r="AF63" s="61"/>
    </row>
    <row r="64" spans="1:32" hidden="1" x14ac:dyDescent="0.2">
      <c r="A64" s="89"/>
      <c r="B64" s="89"/>
      <c r="C64" s="89"/>
      <c r="D64" s="89"/>
      <c r="E64" s="102"/>
      <c r="F64" s="102"/>
      <c r="G64" s="102"/>
      <c r="H64" s="102"/>
      <c r="I64" s="102"/>
      <c r="J64" s="102"/>
      <c r="K64" s="89"/>
      <c r="L64" s="89"/>
      <c r="M64" s="205"/>
      <c r="N64" s="205"/>
      <c r="O64" s="206"/>
      <c r="P64" s="206"/>
      <c r="AF64" s="61"/>
    </row>
    <row r="65" spans="1:32" hidden="1" x14ac:dyDescent="0.2">
      <c r="A65" s="89"/>
      <c r="B65" s="89"/>
      <c r="C65" s="89"/>
      <c r="D65" s="89"/>
      <c r="E65" s="102"/>
      <c r="F65" s="102"/>
      <c r="G65" s="102"/>
      <c r="H65" s="102"/>
      <c r="I65" s="102"/>
      <c r="J65" s="102"/>
      <c r="K65" s="89"/>
      <c r="L65" s="89"/>
      <c r="M65" s="205"/>
      <c r="N65" s="205"/>
      <c r="O65" s="206"/>
      <c r="P65" s="206"/>
      <c r="AF65" s="61"/>
    </row>
    <row r="66" spans="1:32" hidden="1" x14ac:dyDescent="0.2">
      <c r="A66" s="89"/>
      <c r="B66" s="89"/>
      <c r="C66" s="89"/>
      <c r="D66" s="89"/>
      <c r="E66" s="102"/>
      <c r="F66" s="102"/>
      <c r="G66" s="102"/>
      <c r="H66" s="102"/>
      <c r="I66" s="102"/>
      <c r="J66" s="102"/>
      <c r="K66" s="89"/>
      <c r="L66" s="89"/>
      <c r="M66" s="205"/>
      <c r="N66" s="205"/>
      <c r="O66" s="206"/>
      <c r="P66" s="206"/>
      <c r="AF66" s="61"/>
    </row>
    <row r="67" spans="1:32" hidden="1" x14ac:dyDescent="0.2">
      <c r="A67" s="89"/>
      <c r="B67" s="89"/>
      <c r="C67" s="89"/>
      <c r="D67" s="89"/>
      <c r="E67" s="102"/>
      <c r="F67" s="102"/>
      <c r="G67" s="102"/>
      <c r="H67" s="102"/>
      <c r="I67" s="102"/>
      <c r="J67" s="102"/>
      <c r="K67" s="89"/>
      <c r="L67" s="89"/>
      <c r="M67" s="205"/>
      <c r="N67" s="205"/>
      <c r="O67" s="206"/>
      <c r="P67" s="206"/>
      <c r="AF67" s="61"/>
    </row>
    <row r="68" spans="1:32" hidden="1" x14ac:dyDescent="0.2">
      <c r="A68" s="89"/>
      <c r="B68" s="89"/>
      <c r="C68" s="89"/>
      <c r="D68" s="89"/>
      <c r="E68" s="102"/>
      <c r="F68" s="102"/>
      <c r="G68" s="102"/>
      <c r="H68" s="102"/>
      <c r="I68" s="102"/>
      <c r="J68" s="102"/>
      <c r="K68" s="89"/>
      <c r="L68" s="89"/>
      <c r="M68" s="205"/>
      <c r="N68" s="205"/>
      <c r="O68" s="206"/>
      <c r="P68" s="206"/>
      <c r="AF68" s="61"/>
    </row>
    <row r="69" spans="1:32" hidden="1" x14ac:dyDescent="0.2">
      <c r="A69" s="89"/>
      <c r="B69" s="89"/>
      <c r="C69" s="89"/>
      <c r="D69" s="89"/>
      <c r="E69" s="102"/>
      <c r="F69" s="102"/>
      <c r="G69" s="102"/>
      <c r="H69" s="102"/>
      <c r="I69" s="102"/>
      <c r="J69" s="102"/>
      <c r="K69" s="89"/>
      <c r="L69" s="89"/>
      <c r="M69" s="205"/>
      <c r="N69" s="205"/>
      <c r="O69" s="206"/>
      <c r="P69" s="206"/>
      <c r="AF69" s="61"/>
    </row>
    <row r="70" spans="1:32" hidden="1" x14ac:dyDescent="0.2">
      <c r="A70" s="89"/>
      <c r="B70" s="89"/>
      <c r="C70" s="89"/>
      <c r="D70" s="89"/>
      <c r="E70" s="102"/>
      <c r="F70" s="102"/>
      <c r="G70" s="102"/>
      <c r="H70" s="102"/>
      <c r="I70" s="102"/>
      <c r="J70" s="102"/>
      <c r="K70" s="89"/>
      <c r="L70" s="89"/>
      <c r="M70" s="205"/>
      <c r="N70" s="205"/>
      <c r="O70" s="206"/>
      <c r="P70" s="206"/>
      <c r="AF70" s="61"/>
    </row>
    <row r="71" spans="1:32" hidden="1" x14ac:dyDescent="0.2">
      <c r="A71" s="89"/>
      <c r="B71" s="89"/>
      <c r="C71" s="89"/>
      <c r="D71" s="89"/>
      <c r="E71" s="102"/>
      <c r="F71" s="102"/>
      <c r="G71" s="102"/>
      <c r="H71" s="102"/>
      <c r="I71" s="102"/>
      <c r="J71" s="102"/>
      <c r="K71" s="89"/>
      <c r="L71" s="89"/>
      <c r="M71" s="205"/>
      <c r="N71" s="205"/>
      <c r="O71" s="206"/>
      <c r="P71" s="206"/>
      <c r="AF71" s="61"/>
    </row>
    <row r="72" spans="1:32" hidden="1" x14ac:dyDescent="0.2">
      <c r="A72" s="89"/>
      <c r="B72" s="89"/>
      <c r="C72" s="89"/>
      <c r="D72" s="89"/>
      <c r="E72" s="102"/>
      <c r="F72" s="102"/>
      <c r="G72" s="102"/>
      <c r="H72" s="102"/>
      <c r="I72" s="102"/>
      <c r="J72" s="102"/>
      <c r="K72" s="89"/>
      <c r="L72" s="89"/>
      <c r="M72" s="205"/>
      <c r="N72" s="205"/>
      <c r="O72" s="206"/>
      <c r="P72" s="206"/>
      <c r="AF72" s="61"/>
    </row>
    <row r="73" spans="1:32" hidden="1" x14ac:dyDescent="0.2">
      <c r="A73" s="89"/>
      <c r="B73" s="89"/>
      <c r="C73" s="89"/>
      <c r="D73" s="89"/>
      <c r="E73" s="102"/>
      <c r="F73" s="102"/>
      <c r="G73" s="102"/>
      <c r="H73" s="102"/>
      <c r="I73" s="102"/>
      <c r="J73" s="102"/>
      <c r="K73" s="89"/>
      <c r="L73" s="89"/>
      <c r="M73" s="205"/>
      <c r="N73" s="205"/>
      <c r="O73" s="206"/>
      <c r="P73" s="206"/>
      <c r="AF73" s="61"/>
    </row>
    <row r="74" spans="1:32" hidden="1" x14ac:dyDescent="0.2">
      <c r="A74" s="89"/>
      <c r="B74" s="89"/>
      <c r="C74" s="89"/>
      <c r="D74" s="89"/>
      <c r="E74" s="102"/>
      <c r="F74" s="102"/>
      <c r="G74" s="102"/>
      <c r="H74" s="102"/>
      <c r="I74" s="102"/>
      <c r="J74" s="102"/>
      <c r="K74" s="89"/>
      <c r="L74" s="89"/>
      <c r="M74" s="205"/>
      <c r="N74" s="205"/>
      <c r="O74" s="206"/>
      <c r="P74" s="206"/>
      <c r="AF74" s="61"/>
    </row>
    <row r="75" spans="1:32" hidden="1" x14ac:dyDescent="0.2">
      <c r="A75" s="89"/>
      <c r="B75" s="89"/>
      <c r="C75" s="89"/>
      <c r="D75" s="89"/>
      <c r="E75" s="102"/>
      <c r="F75" s="102"/>
      <c r="G75" s="102"/>
      <c r="H75" s="102"/>
      <c r="I75" s="102"/>
      <c r="J75" s="102"/>
      <c r="K75" s="89"/>
      <c r="L75" s="89"/>
      <c r="M75" s="205"/>
      <c r="N75" s="205"/>
      <c r="O75" s="206"/>
      <c r="P75" s="206"/>
      <c r="AF75" s="61"/>
    </row>
    <row r="76" spans="1:32" hidden="1" x14ac:dyDescent="0.2">
      <c r="A76" s="89"/>
      <c r="B76" s="89"/>
      <c r="C76" s="89"/>
      <c r="D76" s="89"/>
      <c r="E76" s="102"/>
      <c r="F76" s="102"/>
      <c r="G76" s="102"/>
      <c r="H76" s="102"/>
      <c r="I76" s="102"/>
      <c r="J76" s="102"/>
      <c r="K76" s="89"/>
      <c r="L76" s="89"/>
      <c r="M76" s="205"/>
      <c r="N76" s="205"/>
      <c r="O76" s="206"/>
      <c r="P76" s="206"/>
      <c r="AF76" s="61"/>
    </row>
    <row r="77" spans="1:32" hidden="1" x14ac:dyDescent="0.2">
      <c r="A77" s="89"/>
      <c r="B77" s="89"/>
      <c r="C77" s="89"/>
      <c r="D77" s="89"/>
      <c r="E77" s="102"/>
      <c r="F77" s="102"/>
      <c r="G77" s="102"/>
      <c r="H77" s="102"/>
      <c r="I77" s="102"/>
      <c r="J77" s="102"/>
      <c r="K77" s="89"/>
      <c r="L77" s="89"/>
      <c r="M77" s="205"/>
      <c r="N77" s="205"/>
      <c r="O77" s="206"/>
      <c r="P77" s="206"/>
      <c r="AF77" s="61"/>
    </row>
    <row r="78" spans="1:32" hidden="1" x14ac:dyDescent="0.2">
      <c r="A78" s="89"/>
      <c r="B78" s="89"/>
      <c r="C78" s="89"/>
      <c r="D78" s="89"/>
      <c r="E78" s="102"/>
      <c r="F78" s="102"/>
      <c r="G78" s="102"/>
      <c r="H78" s="102"/>
      <c r="I78" s="102"/>
      <c r="J78" s="102"/>
      <c r="K78" s="89"/>
      <c r="L78" s="89"/>
      <c r="M78" s="205"/>
      <c r="N78" s="205"/>
      <c r="O78" s="206"/>
      <c r="P78" s="206"/>
      <c r="AF78" s="61"/>
    </row>
    <row r="79" spans="1:32" hidden="1" x14ac:dyDescent="0.2">
      <c r="A79" s="89"/>
      <c r="B79" s="89"/>
      <c r="C79" s="89"/>
      <c r="D79" s="89"/>
      <c r="E79" s="102"/>
      <c r="F79" s="102"/>
      <c r="G79" s="102"/>
      <c r="H79" s="102"/>
      <c r="I79" s="102"/>
      <c r="J79" s="102"/>
      <c r="K79" s="89"/>
      <c r="L79" s="89"/>
      <c r="M79" s="205"/>
      <c r="N79" s="205"/>
      <c r="O79" s="206"/>
      <c r="P79" s="206"/>
      <c r="AF79" s="61"/>
    </row>
    <row r="80" spans="1:32" hidden="1" x14ac:dyDescent="0.2">
      <c r="A80" s="89"/>
      <c r="B80" s="89"/>
      <c r="C80" s="89"/>
      <c r="D80" s="89"/>
      <c r="E80" s="102"/>
      <c r="F80" s="102"/>
      <c r="G80" s="102"/>
      <c r="H80" s="102"/>
      <c r="I80" s="102"/>
      <c r="J80" s="102"/>
      <c r="K80" s="89"/>
      <c r="L80" s="89"/>
      <c r="M80" s="205"/>
      <c r="N80" s="205"/>
      <c r="O80" s="206"/>
      <c r="P80" s="206"/>
      <c r="Q80" s="210" t="s">
        <v>114</v>
      </c>
      <c r="T80" s="208"/>
      <c r="U80" s="208"/>
      <c r="V80" s="208"/>
      <c r="W80" s="208"/>
      <c r="AF80" s="61"/>
    </row>
    <row r="81" spans="1:32" hidden="1" x14ac:dyDescent="0.2">
      <c r="A81" s="89"/>
      <c r="B81" s="89"/>
      <c r="C81" s="89"/>
      <c r="D81" s="89"/>
      <c r="E81" s="102"/>
      <c r="F81" s="102"/>
      <c r="G81" s="102"/>
      <c r="H81" s="102"/>
      <c r="I81" s="102"/>
      <c r="J81" s="102"/>
      <c r="K81" s="89"/>
      <c r="L81" s="89"/>
      <c r="M81" s="205"/>
      <c r="N81" s="205"/>
      <c r="O81" s="206"/>
      <c r="P81" s="206"/>
      <c r="T81" s="208"/>
      <c r="U81" s="208"/>
      <c r="V81" s="208"/>
      <c r="W81" s="208"/>
      <c r="AF81" s="61"/>
    </row>
    <row r="82" spans="1:32" hidden="1" x14ac:dyDescent="0.2">
      <c r="A82" s="89"/>
      <c r="B82" s="89"/>
      <c r="C82" s="89"/>
      <c r="D82" s="89"/>
      <c r="E82" s="102"/>
      <c r="F82" s="102"/>
      <c r="G82" s="102"/>
      <c r="H82" s="102"/>
      <c r="I82" s="102"/>
      <c r="J82" s="102"/>
      <c r="K82" s="89"/>
      <c r="L82" s="89"/>
      <c r="M82" s="205"/>
      <c r="N82" s="205"/>
      <c r="O82" s="206"/>
      <c r="P82" s="206"/>
      <c r="T82" s="208"/>
      <c r="U82" s="208"/>
      <c r="V82" s="208"/>
      <c r="W82" s="208"/>
      <c r="AF82" s="61"/>
    </row>
    <row r="83" spans="1:32" hidden="1" x14ac:dyDescent="0.2">
      <c r="A83" s="89"/>
      <c r="B83" s="89"/>
      <c r="C83" s="89"/>
      <c r="D83" s="89"/>
      <c r="E83" s="102"/>
      <c r="F83" s="102"/>
      <c r="G83" s="102"/>
      <c r="H83" s="102"/>
      <c r="I83" s="102"/>
      <c r="J83" s="102"/>
      <c r="K83" s="89"/>
      <c r="L83" s="89"/>
      <c r="M83" s="205"/>
      <c r="N83" s="205"/>
      <c r="O83" s="206"/>
      <c r="P83" s="206"/>
      <c r="Q83" s="210" t="e">
        <f>IF(Q$111=100,(Q99),IF(R$111=100,(R99),IF(S$111=100,(S99),IF(T$111=100,(T99),IF(U$111=100,(U99),IF(V$111=100,(V99),IF(W$111=100,(W99),(W99))))))))</f>
        <v>#VALUE!</v>
      </c>
      <c r="R83" s="210" t="s">
        <v>124</v>
      </c>
      <c r="T83" s="208"/>
      <c r="U83" s="208"/>
      <c r="V83" s="208"/>
      <c r="W83" s="208"/>
      <c r="AF83" s="61"/>
    </row>
    <row r="84" spans="1:32" hidden="1" x14ac:dyDescent="0.2">
      <c r="A84" s="89"/>
      <c r="B84" s="89"/>
      <c r="C84" s="89"/>
      <c r="D84" s="89"/>
      <c r="E84" s="102"/>
      <c r="F84" s="102"/>
      <c r="G84" s="102"/>
      <c r="H84" s="102"/>
      <c r="I84" s="102"/>
      <c r="J84" s="102"/>
      <c r="K84" s="89"/>
      <c r="L84" s="89"/>
      <c r="M84" s="205"/>
      <c r="N84" s="205"/>
      <c r="O84" s="206"/>
      <c r="P84" s="206"/>
      <c r="Q84" s="210" t="e">
        <f t="shared" ref="Q84:Q94" si="34">IF(Q$111=100,(Q100),IF(R$111=100,(R100),IF(S$111=100,(S100),IF(T$111=100,(T100),IF(U$111=100,(U100),IF(V$111=100,(V100),IF(W$111=100,(W100),(W100))))))))</f>
        <v>#VALUE!</v>
      </c>
      <c r="R84" s="210" t="s">
        <v>125</v>
      </c>
      <c r="T84" s="208"/>
      <c r="U84" s="208"/>
      <c r="V84" s="208"/>
      <c r="W84" s="208"/>
      <c r="AF84" s="61"/>
    </row>
    <row r="85" spans="1:32" ht="15.75" thickBot="1" x14ac:dyDescent="0.25">
      <c r="A85" s="89"/>
      <c r="B85" s="89"/>
      <c r="C85" s="89"/>
      <c r="D85" s="89"/>
      <c r="E85" s="102"/>
      <c r="F85" s="102"/>
      <c r="G85" s="102"/>
      <c r="H85" s="102"/>
      <c r="I85" s="102"/>
      <c r="J85" s="102"/>
      <c r="K85" s="89"/>
      <c r="L85" s="89"/>
      <c r="M85" s="205"/>
      <c r="N85" s="205"/>
      <c r="O85" s="206"/>
      <c r="P85" s="206"/>
      <c r="Q85" s="210" t="e">
        <f t="shared" si="34"/>
        <v>#VALUE!</v>
      </c>
      <c r="R85" s="210" t="e">
        <f>LARGE(Q$99:Q$110,1)</f>
        <v>#VALUE!</v>
      </c>
      <c r="S85" s="210" t="e">
        <f>IF(Q111&lt;100,(R85+0.1),IF(Q111&gt;100,(R85-0.1),R85))</f>
        <v>#VALUE!</v>
      </c>
      <c r="T85" s="208"/>
      <c r="U85" s="208"/>
      <c r="V85" s="208"/>
      <c r="W85" s="208"/>
      <c r="AF85" s="61"/>
    </row>
    <row r="86" spans="1:32" ht="15.75" thickBot="1" x14ac:dyDescent="0.25">
      <c r="A86" s="152"/>
      <c r="B86" s="153" t="s">
        <v>151</v>
      </c>
      <c r="C86" s="154"/>
      <c r="D86" s="154"/>
      <c r="E86" s="155"/>
      <c r="F86" s="18" t="s">
        <v>81</v>
      </c>
      <c r="G86" s="19"/>
      <c r="H86" s="20" t="s">
        <v>82</v>
      </c>
      <c r="I86" s="21"/>
      <c r="J86" s="156"/>
      <c r="K86" s="157"/>
      <c r="L86" s="152"/>
      <c r="M86" s="213"/>
      <c r="N86" s="214"/>
      <c r="O86" s="215"/>
      <c r="P86" s="215"/>
      <c r="Q86" s="210" t="e">
        <f t="shared" si="34"/>
        <v>#VALUE!</v>
      </c>
      <c r="R86" s="210" t="e">
        <f>LARGE(Q$99:Q$110,2)</f>
        <v>#VALUE!</v>
      </c>
      <c r="S86" s="210" t="e">
        <f>IF(R111&lt;100,(R86+0.1),IF(R111&gt;100,(R86-0.1),R86))</f>
        <v>#VALUE!</v>
      </c>
      <c r="T86" s="208"/>
      <c r="U86" s="208"/>
      <c r="V86" s="208"/>
      <c r="W86" s="208"/>
      <c r="AF86" s="61"/>
    </row>
    <row r="87" spans="1:32" x14ac:dyDescent="0.2">
      <c r="A87" s="152"/>
      <c r="B87" s="161"/>
      <c r="C87" s="162"/>
      <c r="D87" s="163" t="s">
        <v>90</v>
      </c>
      <c r="E87" s="164"/>
      <c r="F87" s="165"/>
      <c r="G87" s="166"/>
      <c r="H87" s="166"/>
      <c r="I87" s="167"/>
      <c r="J87" s="167"/>
      <c r="K87" s="165"/>
      <c r="L87" s="157"/>
      <c r="M87" s="214"/>
      <c r="N87" s="214"/>
      <c r="O87" s="215"/>
      <c r="P87" s="215"/>
      <c r="Q87" s="210" t="e">
        <f t="shared" si="34"/>
        <v>#VALUE!</v>
      </c>
      <c r="R87" s="210" t="e">
        <f>LARGE(Q$99:Q$110,3)</f>
        <v>#VALUE!</v>
      </c>
      <c r="S87" s="210" t="e">
        <f>IF(S111&lt;100,(R87+0.1),IF(S111&gt;100,(R87-0.1),R87))</f>
        <v>#VALUE!</v>
      </c>
      <c r="T87" s="208"/>
      <c r="U87" s="208"/>
      <c r="V87" s="208"/>
      <c r="W87" s="208"/>
      <c r="AF87" s="61"/>
    </row>
    <row r="88" spans="1:32" ht="15.75" thickBot="1" x14ac:dyDescent="0.25">
      <c r="A88" s="152"/>
      <c r="B88" s="161"/>
      <c r="C88" s="162"/>
      <c r="D88" s="163" t="s">
        <v>93</v>
      </c>
      <c r="E88" s="168"/>
      <c r="F88" s="165"/>
      <c r="G88" s="120"/>
      <c r="H88" s="165" t="s">
        <v>130</v>
      </c>
      <c r="I88" s="167"/>
      <c r="J88" s="167"/>
      <c r="K88" s="165"/>
      <c r="L88" s="152"/>
      <c r="M88" s="214"/>
      <c r="N88" s="214"/>
      <c r="O88" s="215"/>
      <c r="P88" s="215"/>
      <c r="Q88" s="210" t="e">
        <f t="shared" si="34"/>
        <v>#VALUE!</v>
      </c>
      <c r="R88" s="210" t="e">
        <f>LARGE(Q$99:Q$110,4)</f>
        <v>#VALUE!</v>
      </c>
      <c r="S88" s="210" t="e">
        <f>IF(T111&lt;100,(R88+0.1),IF(T111&gt;100,(R88-0.1),R88))</f>
        <v>#VALUE!</v>
      </c>
      <c r="T88" s="208"/>
      <c r="U88" s="208"/>
      <c r="V88" s="208"/>
      <c r="W88" s="208"/>
      <c r="AF88" s="61"/>
    </row>
    <row r="89" spans="1:32" x14ac:dyDescent="0.2">
      <c r="A89" s="152"/>
      <c r="B89" s="161"/>
      <c r="C89" s="162"/>
      <c r="D89" s="163" t="s">
        <v>131</v>
      </c>
      <c r="E89" s="121"/>
      <c r="F89" s="165"/>
      <c r="G89" s="165"/>
      <c r="H89" s="165" t="s">
        <v>132</v>
      </c>
      <c r="I89" s="167"/>
      <c r="J89" s="167"/>
      <c r="K89" s="165"/>
      <c r="L89" s="152"/>
      <c r="M89" s="214"/>
      <c r="N89" s="214"/>
      <c r="O89" s="215"/>
      <c r="P89" s="215"/>
      <c r="Q89" s="210" t="e">
        <f t="shared" si="34"/>
        <v>#VALUE!</v>
      </c>
      <c r="R89" s="210" t="e">
        <f>LARGE(Q$99:Q$110,5)</f>
        <v>#VALUE!</v>
      </c>
      <c r="S89" s="210" t="e">
        <f>IF(U111&lt;100,(R89+0.1),IF(U111&gt;100,(R89-0.1),R89))</f>
        <v>#VALUE!</v>
      </c>
      <c r="AF89" s="61"/>
    </row>
    <row r="90" spans="1:32" x14ac:dyDescent="0.2">
      <c r="A90" s="152"/>
      <c r="B90" s="161"/>
      <c r="C90" s="169"/>
      <c r="D90" s="163" t="s">
        <v>133</v>
      </c>
      <c r="E90" s="121"/>
      <c r="F90" s="165"/>
      <c r="G90" s="166"/>
      <c r="H90" s="166"/>
      <c r="I90" s="167"/>
      <c r="J90" s="167"/>
      <c r="K90" s="165"/>
      <c r="L90" s="152"/>
      <c r="M90" s="214"/>
      <c r="N90" s="214"/>
      <c r="O90" s="215"/>
      <c r="P90" s="215"/>
      <c r="Q90" s="210" t="e">
        <f t="shared" si="34"/>
        <v>#VALUE!</v>
      </c>
      <c r="R90" s="210" t="e">
        <f>LARGE(Q$99:Q$110,6)</f>
        <v>#VALUE!</v>
      </c>
      <c r="S90" s="210" t="e">
        <f>IF(V111&lt;100,(R90+0.1),IF(V111&gt;100,(R90-0.1),R90))</f>
        <v>#VALUE!</v>
      </c>
      <c r="AF90" s="61"/>
    </row>
    <row r="91" spans="1:32" ht="15.75" thickBot="1" x14ac:dyDescent="0.25">
      <c r="A91" s="152"/>
      <c r="B91" s="170"/>
      <c r="C91" s="171" t="s">
        <v>99</v>
      </c>
      <c r="D91" s="172"/>
      <c r="E91" s="173" t="str">
        <f>IF(E90="","",ROUND(SUM(E89/E90),4))</f>
        <v/>
      </c>
      <c r="F91" s="165"/>
      <c r="G91" s="165"/>
      <c r="H91" s="165"/>
      <c r="I91" s="165"/>
      <c r="J91" s="165"/>
      <c r="K91" s="165"/>
      <c r="L91" s="152"/>
      <c r="M91" s="214"/>
      <c r="N91" s="214"/>
      <c r="O91" s="215"/>
      <c r="P91" s="215"/>
      <c r="Q91" s="210" t="e">
        <f t="shared" si="34"/>
        <v>#VALUE!</v>
      </c>
      <c r="R91" s="208"/>
      <c r="S91" s="208"/>
      <c r="U91" s="208"/>
      <c r="V91" s="208"/>
      <c r="W91" s="208"/>
      <c r="AF91" s="61"/>
    </row>
    <row r="92" spans="1:32" x14ac:dyDescent="0.2">
      <c r="A92" s="152"/>
      <c r="B92" s="341"/>
      <c r="C92" s="342"/>
      <c r="D92" s="54" t="s">
        <v>101</v>
      </c>
      <c r="E92" s="54" t="s">
        <v>102</v>
      </c>
      <c r="F92" s="174" t="s">
        <v>57</v>
      </c>
      <c r="G92" s="174" t="s">
        <v>57</v>
      </c>
      <c r="H92" s="175" t="s">
        <v>103</v>
      </c>
      <c r="I92" s="176"/>
      <c r="J92" s="176"/>
      <c r="K92" s="157"/>
      <c r="L92" s="152"/>
      <c r="M92" s="214"/>
      <c r="N92" s="214"/>
      <c r="O92" s="215"/>
      <c r="P92" s="215"/>
      <c r="Q92" s="210" t="e">
        <f t="shared" si="34"/>
        <v>#VALUE!</v>
      </c>
      <c r="R92" s="208"/>
      <c r="U92" s="208"/>
      <c r="V92" s="208"/>
      <c r="W92" s="208"/>
      <c r="AF92" s="61"/>
    </row>
    <row r="93" spans="1:32" x14ac:dyDescent="0.2">
      <c r="A93" s="152"/>
      <c r="B93" s="343" t="s">
        <v>110</v>
      </c>
      <c r="C93" s="344"/>
      <c r="D93" s="59" t="s">
        <v>134</v>
      </c>
      <c r="E93" s="59" t="s">
        <v>111</v>
      </c>
      <c r="F93" s="59" t="s">
        <v>112</v>
      </c>
      <c r="G93" s="59" t="s">
        <v>113</v>
      </c>
      <c r="H93" s="177" t="s">
        <v>114</v>
      </c>
      <c r="I93" s="176"/>
      <c r="J93" s="176"/>
      <c r="K93" s="152"/>
      <c r="L93" s="152"/>
      <c r="M93" s="214"/>
      <c r="N93" s="214"/>
      <c r="O93" s="215"/>
      <c r="P93" s="215"/>
      <c r="Q93" s="210" t="e">
        <f t="shared" si="34"/>
        <v>#VALUE!</v>
      </c>
      <c r="R93" s="208"/>
      <c r="S93" s="208"/>
      <c r="U93" s="208"/>
      <c r="V93" s="208"/>
      <c r="W93" s="208"/>
    </row>
    <row r="94" spans="1:32" x14ac:dyDescent="0.2">
      <c r="A94" s="152"/>
      <c r="B94" s="178" t="s">
        <v>29</v>
      </c>
      <c r="C94" s="62" t="s">
        <v>135</v>
      </c>
      <c r="D94" s="63"/>
      <c r="E94" s="64"/>
      <c r="F94" s="67" t="str">
        <f>IF(OR(E$87="",E$88=""),"",IF(E94="",0,(Q98)))</f>
        <v/>
      </c>
      <c r="G94" s="67" t="str">
        <f>IF(F108="","",100)</f>
        <v/>
      </c>
      <c r="H94" s="179" t="str">
        <f>IF(G94="","",IF(G94&gt;9.9,ROUND(G94,0),ROUND(G94,1)))</f>
        <v/>
      </c>
      <c r="I94" s="180"/>
      <c r="J94" s="180"/>
      <c r="K94" s="152"/>
      <c r="L94" s="152"/>
      <c r="M94" s="214"/>
      <c r="N94" s="214"/>
      <c r="O94" s="215"/>
      <c r="P94" s="215"/>
      <c r="Q94" s="210" t="e">
        <f t="shared" si="34"/>
        <v>#VALUE!</v>
      </c>
      <c r="R94" s="208"/>
      <c r="S94" s="208"/>
      <c r="U94" s="208"/>
      <c r="V94" s="208"/>
      <c r="W94" s="208"/>
    </row>
    <row r="95" spans="1:32" x14ac:dyDescent="0.2">
      <c r="A95" s="152"/>
      <c r="B95" s="178" t="s">
        <v>136</v>
      </c>
      <c r="C95" s="62" t="s">
        <v>137</v>
      </c>
      <c r="D95" s="63"/>
      <c r="E95" s="64"/>
      <c r="F95" s="67" t="str">
        <f t="shared" ref="F95:F106" si="35">IF(OR(E$87="",E$88=""),"",IF(E95="",0,(Q99)))</f>
        <v/>
      </c>
      <c r="G95" s="67" t="str">
        <f>IF(G94="","",SUM(G94-F95))</f>
        <v/>
      </c>
      <c r="H95" s="179" t="str">
        <f>IF(G95="","",IF(G95&gt;9.9,ROUND(G95,0),ROUND(G95,1)))</f>
        <v/>
      </c>
      <c r="I95" s="180"/>
      <c r="J95" s="180"/>
      <c r="K95" s="152"/>
      <c r="L95" s="152"/>
      <c r="M95" s="214"/>
      <c r="N95" s="214"/>
      <c r="O95" s="215"/>
      <c r="P95" s="215"/>
      <c r="Q95" s="210" t="e">
        <f>SUM(Q81:Q94)</f>
        <v>#VALUE!</v>
      </c>
      <c r="T95" s="208"/>
      <c r="U95" s="208"/>
      <c r="V95" s="208"/>
      <c r="W95" s="208"/>
    </row>
    <row r="96" spans="1:32" x14ac:dyDescent="0.2">
      <c r="A96" s="152"/>
      <c r="B96" s="178" t="s">
        <v>31</v>
      </c>
      <c r="C96" s="62" t="s">
        <v>138</v>
      </c>
      <c r="D96" s="63"/>
      <c r="E96" s="64"/>
      <c r="F96" s="67" t="str">
        <f t="shared" si="35"/>
        <v/>
      </c>
      <c r="G96" s="67" t="str">
        <f t="shared" ref="G96:G103" si="36">IF(G95="","",SUM(G95-F96))</f>
        <v/>
      </c>
      <c r="H96" s="179" t="str">
        <f>IF(G96="","",IF(G96&gt;9.9,ROUND(G96,0),ROUND(G96,1)))</f>
        <v/>
      </c>
      <c r="I96" s="180"/>
      <c r="J96" s="180"/>
      <c r="K96" s="152"/>
      <c r="L96" s="152"/>
      <c r="M96" s="214"/>
      <c r="N96" s="214"/>
      <c r="O96" s="215"/>
      <c r="P96" s="215"/>
      <c r="Q96" s="210" t="s">
        <v>57</v>
      </c>
    </row>
    <row r="97" spans="1:23" x14ac:dyDescent="0.2">
      <c r="A97" s="152"/>
      <c r="B97" s="178" t="s">
        <v>32</v>
      </c>
      <c r="C97" s="62" t="s">
        <v>139</v>
      </c>
      <c r="D97" s="63"/>
      <c r="E97" s="64"/>
      <c r="F97" s="67" t="str">
        <f t="shared" si="35"/>
        <v/>
      </c>
      <c r="G97" s="67" t="str">
        <f t="shared" si="36"/>
        <v/>
      </c>
      <c r="H97" s="179" t="str">
        <f>IF(G97="","",IF(G97&gt;9.9,ROUND(G97,0),ROUND(G97,1)))</f>
        <v/>
      </c>
      <c r="I97" s="180"/>
      <c r="J97" s="180"/>
      <c r="K97" s="152"/>
      <c r="L97" s="152"/>
      <c r="M97" s="214"/>
      <c r="N97" s="214"/>
      <c r="O97" s="215"/>
      <c r="P97" s="215"/>
      <c r="Q97" s="210" t="s">
        <v>112</v>
      </c>
    </row>
    <row r="98" spans="1:23" x14ac:dyDescent="0.2">
      <c r="A98" s="152"/>
      <c r="B98" s="178" t="s">
        <v>33</v>
      </c>
      <c r="C98" s="62" t="s">
        <v>140</v>
      </c>
      <c r="D98" s="63"/>
      <c r="E98" s="64"/>
      <c r="F98" s="67" t="str">
        <f t="shared" si="35"/>
        <v/>
      </c>
      <c r="G98" s="67" t="str">
        <f t="shared" si="36"/>
        <v/>
      </c>
      <c r="H98" s="179" t="str">
        <f t="shared" ref="H98:H105" si="37">IF(G98="","",IF(G98&gt;9.9,ROUND(G98,0),ROUND(G98,1)))</f>
        <v/>
      </c>
      <c r="I98" s="180"/>
      <c r="J98" s="180"/>
      <c r="K98" s="152"/>
      <c r="L98" s="152"/>
      <c r="M98" s="214"/>
      <c r="N98" s="214"/>
      <c r="O98" s="215"/>
      <c r="P98" s="215"/>
      <c r="Q98" s="210" t="e">
        <f>ROUND(IF(E94="","",SUM(E94/$E$87)*100),1)</f>
        <v>#VALUE!</v>
      </c>
      <c r="R98" s="210" t="s">
        <v>120</v>
      </c>
      <c r="S98" s="210">
        <v>2</v>
      </c>
      <c r="T98" s="210" t="s">
        <v>121</v>
      </c>
      <c r="U98" s="210" t="s">
        <v>122</v>
      </c>
      <c r="V98" s="210" t="s">
        <v>123</v>
      </c>
      <c r="W98" s="210">
        <v>6</v>
      </c>
    </row>
    <row r="99" spans="1:23" x14ac:dyDescent="0.2">
      <c r="A99" s="152"/>
      <c r="B99" s="178" t="s">
        <v>141</v>
      </c>
      <c r="C99" s="62" t="s">
        <v>142</v>
      </c>
      <c r="D99" s="63"/>
      <c r="E99" s="64"/>
      <c r="F99" s="67" t="str">
        <f t="shared" si="35"/>
        <v/>
      </c>
      <c r="G99" s="67" t="str">
        <f t="shared" si="36"/>
        <v/>
      </c>
      <c r="H99" s="179" t="str">
        <f t="shared" si="37"/>
        <v/>
      </c>
      <c r="I99" s="180"/>
      <c r="J99" s="180"/>
      <c r="K99" s="152"/>
      <c r="L99" s="152"/>
      <c r="M99" s="214"/>
      <c r="N99" s="214"/>
      <c r="O99" s="215"/>
      <c r="P99" s="215"/>
      <c r="Q99" s="210" t="e">
        <f t="shared" ref="Q99:Q109" si="38">ROUND(IF(E95="","",SUM(E95/$E$87)*100),1)</f>
        <v>#VALUE!</v>
      </c>
      <c r="R99" s="210" t="e">
        <f>ROUND(IF(Q99=R$85,S$85,Q99),1)</f>
        <v>#VALUE!</v>
      </c>
      <c r="S99" s="210" t="e">
        <f>ROUND(IF(R99=R$86,S$86,R99),1)</f>
        <v>#VALUE!</v>
      </c>
      <c r="T99" s="210" t="e">
        <f>ROUND(IF(S99=R$87,S$87,S99),1)</f>
        <v>#VALUE!</v>
      </c>
      <c r="U99" s="210" t="e">
        <f>ROUND(IF(T99=R$88,S$88,T99),1)</f>
        <v>#VALUE!</v>
      </c>
      <c r="V99" s="210" t="e">
        <f>ROUND(IF(U99=R$89,S$89,U99),1)</f>
        <v>#VALUE!</v>
      </c>
      <c r="W99" s="210" t="e">
        <f>ROUND(IF(V99=R$90,S$90,V99),1)</f>
        <v>#VALUE!</v>
      </c>
    </row>
    <row r="100" spans="1:23" x14ac:dyDescent="0.2">
      <c r="A100" s="152"/>
      <c r="B100" s="178" t="s">
        <v>143</v>
      </c>
      <c r="C100" s="62" t="s">
        <v>144</v>
      </c>
      <c r="D100" s="181"/>
      <c r="E100" s="64"/>
      <c r="F100" s="67" t="str">
        <f t="shared" si="35"/>
        <v/>
      </c>
      <c r="G100" s="67" t="str">
        <f t="shared" si="36"/>
        <v/>
      </c>
      <c r="H100" s="179" t="str">
        <f t="shared" si="37"/>
        <v/>
      </c>
      <c r="I100" s="180"/>
      <c r="J100" s="180"/>
      <c r="K100" s="152"/>
      <c r="L100" s="152"/>
      <c r="M100" s="214"/>
      <c r="N100" s="214"/>
      <c r="O100" s="215"/>
      <c r="P100" s="215"/>
      <c r="Q100" s="210" t="e">
        <f t="shared" si="38"/>
        <v>#VALUE!</v>
      </c>
      <c r="R100" s="210" t="e">
        <f t="shared" ref="R100:R110" si="39">ROUND(IF(Q100=R$85,S$85,Q100),1)</f>
        <v>#VALUE!</v>
      </c>
      <c r="S100" s="210" t="e">
        <f t="shared" ref="S100:S110" si="40">ROUND(IF(R100=R$86,S$86,R100),1)</f>
        <v>#VALUE!</v>
      </c>
      <c r="T100" s="210" t="e">
        <f t="shared" ref="T100:T110" si="41">ROUND(IF(S100=R$87,S$87,S100),1)</f>
        <v>#VALUE!</v>
      </c>
      <c r="U100" s="210" t="e">
        <f t="shared" ref="U100:U110" si="42">ROUND(IF(T100=R$88,S$88,T100),1)</f>
        <v>#VALUE!</v>
      </c>
      <c r="V100" s="210" t="e">
        <f t="shared" ref="V100:V110" si="43">ROUND(IF(U100=R$89,S$89,U100),1)</f>
        <v>#VALUE!</v>
      </c>
      <c r="W100" s="210" t="e">
        <f t="shared" ref="W100:W110" si="44">ROUND(IF(V100=R$90,S$90,V100),1)</f>
        <v>#VALUE!</v>
      </c>
    </row>
    <row r="101" spans="1:23" x14ac:dyDescent="0.2">
      <c r="A101" s="152"/>
      <c r="B101" s="178" t="s">
        <v>145</v>
      </c>
      <c r="C101" s="62" t="s">
        <v>146</v>
      </c>
      <c r="D101" s="181"/>
      <c r="E101" s="64"/>
      <c r="F101" s="67" t="str">
        <f t="shared" si="35"/>
        <v/>
      </c>
      <c r="G101" s="67" t="str">
        <f t="shared" si="36"/>
        <v/>
      </c>
      <c r="H101" s="179" t="str">
        <f t="shared" si="37"/>
        <v/>
      </c>
      <c r="I101" s="180"/>
      <c r="J101" s="180"/>
      <c r="K101" s="152"/>
      <c r="L101" s="152"/>
      <c r="M101" s="214"/>
      <c r="N101" s="214"/>
      <c r="O101" s="215"/>
      <c r="P101" s="215"/>
      <c r="Q101" s="210" t="e">
        <f t="shared" si="38"/>
        <v>#VALUE!</v>
      </c>
      <c r="R101" s="210" t="e">
        <f t="shared" si="39"/>
        <v>#VALUE!</v>
      </c>
      <c r="S101" s="210" t="e">
        <f t="shared" si="40"/>
        <v>#VALUE!</v>
      </c>
      <c r="T101" s="210" t="e">
        <f t="shared" si="41"/>
        <v>#VALUE!</v>
      </c>
      <c r="U101" s="210" t="e">
        <f t="shared" si="42"/>
        <v>#VALUE!</v>
      </c>
      <c r="V101" s="210" t="e">
        <f t="shared" si="43"/>
        <v>#VALUE!</v>
      </c>
      <c r="W101" s="210" t="e">
        <f t="shared" si="44"/>
        <v>#VALUE!</v>
      </c>
    </row>
    <row r="102" spans="1:23" x14ac:dyDescent="0.2">
      <c r="A102" s="152"/>
      <c r="B102" s="178" t="s">
        <v>147</v>
      </c>
      <c r="C102" s="62" t="str">
        <f>"600 "&amp;CHAR(181)&amp;"m"</f>
        <v>600 µm</v>
      </c>
      <c r="D102" s="181"/>
      <c r="E102" s="64"/>
      <c r="F102" s="67" t="str">
        <f t="shared" si="35"/>
        <v/>
      </c>
      <c r="G102" s="67" t="str">
        <f t="shared" si="36"/>
        <v/>
      </c>
      <c r="H102" s="179" t="str">
        <f t="shared" si="37"/>
        <v/>
      </c>
      <c r="I102" s="180"/>
      <c r="J102" s="180"/>
      <c r="K102" s="152"/>
      <c r="L102" s="152"/>
      <c r="M102" s="214"/>
      <c r="N102" s="214"/>
      <c r="O102" s="215"/>
      <c r="P102" s="215"/>
      <c r="Q102" s="210" t="e">
        <f t="shared" si="38"/>
        <v>#VALUE!</v>
      </c>
      <c r="R102" s="210" t="e">
        <f t="shared" si="39"/>
        <v>#VALUE!</v>
      </c>
      <c r="S102" s="210" t="e">
        <f t="shared" si="40"/>
        <v>#VALUE!</v>
      </c>
      <c r="T102" s="210" t="e">
        <f t="shared" si="41"/>
        <v>#VALUE!</v>
      </c>
      <c r="U102" s="210" t="e">
        <f t="shared" si="42"/>
        <v>#VALUE!</v>
      </c>
      <c r="V102" s="210" t="e">
        <f t="shared" si="43"/>
        <v>#VALUE!</v>
      </c>
      <c r="W102" s="210" t="e">
        <f t="shared" si="44"/>
        <v>#VALUE!</v>
      </c>
    </row>
    <row r="103" spans="1:23" x14ac:dyDescent="0.2">
      <c r="A103" s="152"/>
      <c r="B103" s="178" t="s">
        <v>148</v>
      </c>
      <c r="C103" s="62" t="str">
        <f>"300 "&amp;CHAR(181)&amp;"m"</f>
        <v>300 µm</v>
      </c>
      <c r="D103" s="181"/>
      <c r="E103" s="64"/>
      <c r="F103" s="67" t="str">
        <f t="shared" si="35"/>
        <v/>
      </c>
      <c r="G103" s="67" t="str">
        <f t="shared" si="36"/>
        <v/>
      </c>
      <c r="H103" s="179" t="str">
        <f t="shared" si="37"/>
        <v/>
      </c>
      <c r="I103" s="180"/>
      <c r="J103" s="180"/>
      <c r="K103" s="152"/>
      <c r="L103" s="152"/>
      <c r="M103" s="214"/>
      <c r="N103" s="214"/>
      <c r="O103" s="215"/>
      <c r="P103" s="215"/>
      <c r="Q103" s="210" t="e">
        <f t="shared" si="38"/>
        <v>#VALUE!</v>
      </c>
      <c r="R103" s="210" t="e">
        <f t="shared" si="39"/>
        <v>#VALUE!</v>
      </c>
      <c r="S103" s="210" t="e">
        <f t="shared" si="40"/>
        <v>#VALUE!</v>
      </c>
      <c r="T103" s="210" t="e">
        <f t="shared" si="41"/>
        <v>#VALUE!</v>
      </c>
      <c r="U103" s="210" t="e">
        <f t="shared" si="42"/>
        <v>#VALUE!</v>
      </c>
      <c r="V103" s="210" t="e">
        <f t="shared" si="43"/>
        <v>#VALUE!</v>
      </c>
      <c r="W103" s="210" t="e">
        <f t="shared" si="44"/>
        <v>#VALUE!</v>
      </c>
    </row>
    <row r="104" spans="1:23" x14ac:dyDescent="0.2">
      <c r="A104" s="152"/>
      <c r="B104" s="178" t="s">
        <v>149</v>
      </c>
      <c r="C104" s="62" t="str">
        <f>"150 "&amp;CHAR(181)&amp;"m"</f>
        <v>150 µm</v>
      </c>
      <c r="D104" s="181"/>
      <c r="E104" s="64"/>
      <c r="F104" s="67" t="str">
        <f t="shared" si="35"/>
        <v/>
      </c>
      <c r="G104" s="67" t="str">
        <f>IF(G103="","",SUM(G103-F104))</f>
        <v/>
      </c>
      <c r="H104" s="179" t="str">
        <f t="shared" si="37"/>
        <v/>
      </c>
      <c r="I104" s="180"/>
      <c r="J104" s="180"/>
      <c r="K104" s="152"/>
      <c r="L104" s="152"/>
      <c r="M104" s="214"/>
      <c r="N104" s="214"/>
      <c r="O104" s="215"/>
      <c r="P104" s="215"/>
      <c r="Q104" s="210" t="e">
        <f t="shared" si="38"/>
        <v>#VALUE!</v>
      </c>
      <c r="R104" s="210" t="e">
        <f t="shared" si="39"/>
        <v>#VALUE!</v>
      </c>
      <c r="S104" s="210" t="e">
        <f t="shared" si="40"/>
        <v>#VALUE!</v>
      </c>
      <c r="T104" s="210" t="e">
        <f t="shared" si="41"/>
        <v>#VALUE!</v>
      </c>
      <c r="U104" s="210" t="e">
        <f t="shared" si="42"/>
        <v>#VALUE!</v>
      </c>
      <c r="V104" s="210" t="e">
        <f t="shared" si="43"/>
        <v>#VALUE!</v>
      </c>
      <c r="W104" s="210" t="e">
        <f t="shared" si="44"/>
        <v>#VALUE!</v>
      </c>
    </row>
    <row r="105" spans="1:23" ht="15.75" thickBot="1" x14ac:dyDescent="0.25">
      <c r="A105" s="152"/>
      <c r="B105" s="178" t="s">
        <v>150</v>
      </c>
      <c r="C105" s="62" t="str">
        <f>"75 "&amp;CHAR(181)&amp;"m"</f>
        <v>75 µm</v>
      </c>
      <c r="D105" s="181"/>
      <c r="E105" s="64"/>
      <c r="F105" s="67" t="str">
        <f t="shared" si="35"/>
        <v/>
      </c>
      <c r="G105" s="182" t="str">
        <f>IF(G104="","",SUM(G104-F105))</f>
        <v/>
      </c>
      <c r="H105" s="183" t="str">
        <f t="shared" si="37"/>
        <v/>
      </c>
      <c r="I105" s="180"/>
      <c r="J105" s="180"/>
      <c r="K105" s="152"/>
      <c r="L105" s="152"/>
      <c r="M105" s="214"/>
      <c r="N105" s="214"/>
      <c r="O105" s="215"/>
      <c r="P105" s="215"/>
      <c r="Q105" s="210" t="e">
        <f t="shared" si="38"/>
        <v>#VALUE!</v>
      </c>
      <c r="R105" s="210" t="e">
        <f t="shared" si="39"/>
        <v>#VALUE!</v>
      </c>
      <c r="S105" s="210" t="e">
        <f t="shared" si="40"/>
        <v>#VALUE!</v>
      </c>
      <c r="T105" s="210" t="e">
        <f t="shared" si="41"/>
        <v>#VALUE!</v>
      </c>
      <c r="U105" s="210" t="e">
        <f t="shared" si="42"/>
        <v>#VALUE!</v>
      </c>
      <c r="V105" s="210" t="e">
        <f t="shared" si="43"/>
        <v>#VALUE!</v>
      </c>
      <c r="W105" s="210" t="e">
        <f t="shared" si="44"/>
        <v>#VALUE!</v>
      </c>
    </row>
    <row r="106" spans="1:23" ht="15.75" thickBot="1" x14ac:dyDescent="0.25">
      <c r="A106" s="152"/>
      <c r="B106" s="345" t="s">
        <v>126</v>
      </c>
      <c r="C106" s="346"/>
      <c r="D106" s="181"/>
      <c r="E106" s="64"/>
      <c r="F106" s="67" t="str">
        <f t="shared" si="35"/>
        <v/>
      </c>
      <c r="G106" s="184"/>
      <c r="H106" s="184"/>
      <c r="I106" s="185"/>
      <c r="J106" s="185"/>
      <c r="K106" s="152"/>
      <c r="L106" s="152"/>
      <c r="M106" s="214"/>
      <c r="N106" s="214"/>
      <c r="O106" s="215"/>
      <c r="P106" s="215"/>
      <c r="Q106" s="210" t="e">
        <f t="shared" si="38"/>
        <v>#VALUE!</v>
      </c>
      <c r="R106" s="210" t="e">
        <f t="shared" si="39"/>
        <v>#VALUE!</v>
      </c>
      <c r="S106" s="210" t="e">
        <f t="shared" si="40"/>
        <v>#VALUE!</v>
      </c>
      <c r="T106" s="210" t="e">
        <f t="shared" si="41"/>
        <v>#VALUE!</v>
      </c>
      <c r="U106" s="210" t="e">
        <f t="shared" si="42"/>
        <v>#VALUE!</v>
      </c>
      <c r="V106" s="210" t="e">
        <f t="shared" si="43"/>
        <v>#VALUE!</v>
      </c>
      <c r="W106" s="210" t="e">
        <f t="shared" si="44"/>
        <v>#VALUE!</v>
      </c>
    </row>
    <row r="107" spans="1:23" ht="15.75" thickBot="1" x14ac:dyDescent="0.25">
      <c r="A107" s="152"/>
      <c r="B107" s="345" t="s">
        <v>127</v>
      </c>
      <c r="C107" s="346"/>
      <c r="D107" s="63"/>
      <c r="E107" s="186" t="str">
        <f>IF(E88="","",SUM(E87-E88))</f>
        <v/>
      </c>
      <c r="F107" s="187"/>
      <c r="G107" s="184"/>
      <c r="H107" s="157"/>
      <c r="I107" s="157"/>
      <c r="J107" s="157"/>
      <c r="K107" s="152"/>
      <c r="L107" s="152"/>
      <c r="M107" s="214"/>
      <c r="N107" s="214"/>
      <c r="O107" s="215"/>
      <c r="P107" s="215"/>
      <c r="Q107" s="210" t="e">
        <f t="shared" si="38"/>
        <v>#VALUE!</v>
      </c>
      <c r="R107" s="210" t="e">
        <f t="shared" si="39"/>
        <v>#VALUE!</v>
      </c>
      <c r="S107" s="210" t="e">
        <f t="shared" si="40"/>
        <v>#VALUE!</v>
      </c>
      <c r="T107" s="210" t="e">
        <f t="shared" si="41"/>
        <v>#VALUE!</v>
      </c>
      <c r="U107" s="210" t="e">
        <f t="shared" si="42"/>
        <v>#VALUE!</v>
      </c>
      <c r="V107" s="210" t="e">
        <f t="shared" si="43"/>
        <v>#VALUE!</v>
      </c>
      <c r="W107" s="210" t="e">
        <f t="shared" si="44"/>
        <v>#VALUE!</v>
      </c>
    </row>
    <row r="108" spans="1:23" ht="15.75" thickBot="1" x14ac:dyDescent="0.25">
      <c r="A108" s="152"/>
      <c r="B108" s="345" t="s">
        <v>128</v>
      </c>
      <c r="C108" s="346"/>
      <c r="D108" s="188" t="str">
        <f>IF(D106="","",SUM(D100:D106))</f>
        <v/>
      </c>
      <c r="E108" s="188" t="str">
        <f>IF(E106="","",SUM(E94:E107))</f>
        <v/>
      </c>
      <c r="F108" s="189" t="str">
        <f>IF(F106="","",SUM(F94:F106))</f>
        <v/>
      </c>
      <c r="G108" s="190"/>
      <c r="H108" s="157"/>
      <c r="I108" s="157"/>
      <c r="J108" s="157"/>
      <c r="K108" s="157"/>
      <c r="L108" s="152"/>
      <c r="M108" s="214"/>
      <c r="N108" s="214"/>
      <c r="O108" s="215"/>
      <c r="P108" s="215"/>
      <c r="Q108" s="210" t="e">
        <f t="shared" si="38"/>
        <v>#VALUE!</v>
      </c>
      <c r="R108" s="210" t="e">
        <f t="shared" si="39"/>
        <v>#VALUE!</v>
      </c>
      <c r="S108" s="210" t="e">
        <f t="shared" si="40"/>
        <v>#VALUE!</v>
      </c>
      <c r="T108" s="210" t="e">
        <f t="shared" si="41"/>
        <v>#VALUE!</v>
      </c>
      <c r="U108" s="210" t="e">
        <f t="shared" si="42"/>
        <v>#VALUE!</v>
      </c>
      <c r="V108" s="210" t="e">
        <f t="shared" si="43"/>
        <v>#VALUE!</v>
      </c>
      <c r="W108" s="210" t="e">
        <f t="shared" si="44"/>
        <v>#VALUE!</v>
      </c>
    </row>
    <row r="109" spans="1:23" ht="15.75" thickBot="1" x14ac:dyDescent="0.25">
      <c r="A109" s="152"/>
      <c r="B109" s="336" t="s">
        <v>129</v>
      </c>
      <c r="C109" s="337"/>
      <c r="D109" s="182" t="str">
        <f>IF(D108="","",ROUND((SUM(D108/E90)*100),1))</f>
        <v/>
      </c>
      <c r="E109" s="191" t="str">
        <f>IF(E108="","",ROUND((SUM(E108/E87)*100),1))</f>
        <v/>
      </c>
      <c r="F109" s="192"/>
      <c r="G109" s="157"/>
      <c r="H109" s="157"/>
      <c r="I109" s="157"/>
      <c r="J109" s="157"/>
      <c r="K109" s="157"/>
      <c r="L109" s="152"/>
      <c r="M109" s="214"/>
      <c r="N109" s="214"/>
      <c r="O109" s="215"/>
      <c r="P109" s="215"/>
      <c r="Q109" s="210" t="e">
        <f t="shared" si="38"/>
        <v>#VALUE!</v>
      </c>
      <c r="R109" s="210" t="e">
        <f t="shared" si="39"/>
        <v>#VALUE!</v>
      </c>
      <c r="S109" s="210" t="e">
        <f t="shared" si="40"/>
        <v>#VALUE!</v>
      </c>
      <c r="T109" s="210" t="e">
        <f t="shared" si="41"/>
        <v>#VALUE!</v>
      </c>
      <c r="U109" s="210" t="e">
        <f t="shared" si="42"/>
        <v>#VALUE!</v>
      </c>
      <c r="V109" s="210" t="e">
        <f t="shared" si="43"/>
        <v>#VALUE!</v>
      </c>
      <c r="W109" s="210" t="e">
        <f t="shared" si="44"/>
        <v>#VALUE!</v>
      </c>
    </row>
    <row r="110" spans="1:23" x14ac:dyDescent="0.2">
      <c r="A110" s="152"/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213"/>
      <c r="N110" s="214"/>
      <c r="O110" s="215"/>
      <c r="P110" s="215"/>
      <c r="Q110" s="210" t="e">
        <f>ROUND(IF(E106="","",SUM((E106+E107)/$E$87)*100),1)</f>
        <v>#VALUE!</v>
      </c>
      <c r="R110" s="210" t="e">
        <f t="shared" si="39"/>
        <v>#VALUE!</v>
      </c>
      <c r="S110" s="210" t="e">
        <f t="shared" si="40"/>
        <v>#VALUE!</v>
      </c>
      <c r="T110" s="210" t="e">
        <f t="shared" si="41"/>
        <v>#VALUE!</v>
      </c>
      <c r="U110" s="210" t="e">
        <f t="shared" si="42"/>
        <v>#VALUE!</v>
      </c>
      <c r="V110" s="210" t="e">
        <f t="shared" si="43"/>
        <v>#VALUE!</v>
      </c>
      <c r="W110" s="210" t="e">
        <f t="shared" si="44"/>
        <v>#VALUE!</v>
      </c>
    </row>
    <row r="111" spans="1:23" x14ac:dyDescent="0.2">
      <c r="A111" s="152"/>
      <c r="B111" s="152"/>
      <c r="C111" s="152"/>
      <c r="D111" s="152"/>
      <c r="E111" s="152"/>
      <c r="F111" s="152"/>
      <c r="G111" s="338"/>
      <c r="H111" s="338"/>
      <c r="I111" s="338"/>
      <c r="J111" s="338"/>
      <c r="K111" s="338"/>
      <c r="L111" s="152"/>
      <c r="M111" s="213"/>
      <c r="N111" s="214"/>
      <c r="O111" s="215"/>
      <c r="P111" s="215"/>
      <c r="Q111" s="210" t="e">
        <f>ROUND(SUM(Q98:Q110),1)</f>
        <v>#VALUE!</v>
      </c>
      <c r="R111" s="210" t="e">
        <f t="shared" ref="R111:W111" si="45">ROUND(IF(R110="","",SUM(R99:R110)),1)</f>
        <v>#VALUE!</v>
      </c>
      <c r="S111" s="210" t="e">
        <f t="shared" si="45"/>
        <v>#VALUE!</v>
      </c>
      <c r="T111" s="210" t="e">
        <f t="shared" si="45"/>
        <v>#VALUE!</v>
      </c>
      <c r="U111" s="210" t="e">
        <f t="shared" si="45"/>
        <v>#VALUE!</v>
      </c>
      <c r="V111" s="210" t="e">
        <f t="shared" si="45"/>
        <v>#VALUE!</v>
      </c>
      <c r="W111" s="210" t="e">
        <f t="shared" si="45"/>
        <v>#VALUE!</v>
      </c>
    </row>
    <row r="112" spans="1:23" x14ac:dyDescent="0.2">
      <c r="A112" s="152"/>
      <c r="B112" s="152"/>
      <c r="C112" s="152"/>
      <c r="D112" s="152"/>
      <c r="E112" s="152"/>
      <c r="F112" s="152"/>
      <c r="G112" s="338"/>
      <c r="H112" s="338"/>
      <c r="I112" s="338"/>
      <c r="J112" s="338"/>
      <c r="K112" s="338"/>
      <c r="L112" s="152"/>
      <c r="M112" s="214"/>
      <c r="N112" s="214"/>
      <c r="O112" s="215"/>
      <c r="P112" s="215"/>
      <c r="Q112" s="208"/>
      <c r="R112" s="208"/>
      <c r="S112" s="208"/>
      <c r="T112" s="208"/>
      <c r="U112" s="208"/>
      <c r="V112" s="208"/>
      <c r="W112" s="208"/>
    </row>
  </sheetData>
  <sheetProtection algorithmName="SHA-512" hashValue="7r35fLstgwm67jxYqCTgWW8U09vhy3w4nm71RX+05Ybppbwj1ywKb4e4vlnuTOtZOJZXY0JKFHYKtWxx5p5zow==" saltValue="qrJpAq5O/mPShK5+KacAeA==" spinCount="100000" sheet="1" objects="1" scenarios="1"/>
  <mergeCells count="20">
    <mergeCell ref="B109:C109"/>
    <mergeCell ref="G111:K112"/>
    <mergeCell ref="B58:C58"/>
    <mergeCell ref="B92:C92"/>
    <mergeCell ref="B93:C93"/>
    <mergeCell ref="B106:C106"/>
    <mergeCell ref="B107:C107"/>
    <mergeCell ref="B108:C108"/>
    <mergeCell ref="B57:C57"/>
    <mergeCell ref="A1:E1"/>
    <mergeCell ref="I3:K3"/>
    <mergeCell ref="I4:K4"/>
    <mergeCell ref="I5:K5"/>
    <mergeCell ref="I6:K6"/>
    <mergeCell ref="B31:C31"/>
    <mergeCell ref="B32:C32"/>
    <mergeCell ref="B41:C41"/>
    <mergeCell ref="B42:C42"/>
    <mergeCell ref="B55:C55"/>
    <mergeCell ref="B56:C56"/>
  </mergeCells>
  <dataValidations count="2">
    <dataValidation type="decimal" allowBlank="1" showInputMessage="1" showErrorMessage="1" error="Must be numerical" sqref="I9:I20" xr:uid="{4DB8BB58-595F-42E3-92D9-ED702DFEB915}">
      <formula1>0</formula1>
      <formula2>100</formula2>
    </dataValidation>
    <dataValidation type="list" allowBlank="1" showInputMessage="1" showErrorMessage="1" sqref="L1" xr:uid="{F3152797-7650-4F11-A3DC-9FE52B8C0ECC}">
      <formula1>$O$1:$O$2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5EBBD-C571-48D5-8C83-8361F8F700E8}">
  <dimension ref="A1:AG112"/>
  <sheetViews>
    <sheetView showRowColHeaders="0" workbookViewId="0">
      <selection activeCell="E4" sqref="E4"/>
    </sheetView>
  </sheetViews>
  <sheetFormatPr defaultRowHeight="15" x14ac:dyDescent="0.2"/>
  <cols>
    <col min="1" max="7" width="9.140625" style="27"/>
    <col min="8" max="8" width="12.85546875" style="27" customWidth="1"/>
    <col min="9" max="9" width="13.42578125" style="27" customWidth="1"/>
    <col min="10" max="10" width="12.7109375" style="27" customWidth="1"/>
    <col min="11" max="11" width="12.5703125" style="27" customWidth="1"/>
    <col min="12" max="12" width="9.140625" style="27"/>
    <col min="13" max="14" width="11.42578125" style="61" hidden="1" customWidth="1"/>
    <col min="15" max="30" width="11.42578125" style="207" hidden="1" customWidth="1"/>
    <col min="31" max="31" width="11.42578125" style="61" hidden="1" customWidth="1"/>
    <col min="32" max="16384" width="9.140625" style="27"/>
  </cols>
  <sheetData>
    <row r="1" spans="1:33" ht="16.5" thickBot="1" x14ac:dyDescent="0.3">
      <c r="A1" s="321" t="s">
        <v>80</v>
      </c>
      <c r="B1" s="322"/>
      <c r="C1" s="322"/>
      <c r="D1" s="322"/>
      <c r="E1" s="323"/>
      <c r="F1" s="18" t="s">
        <v>81</v>
      </c>
      <c r="G1" s="19"/>
      <c r="H1" s="20" t="s">
        <v>82</v>
      </c>
      <c r="I1" s="21"/>
      <c r="J1" s="22"/>
      <c r="K1" s="18" t="s">
        <v>83</v>
      </c>
      <c r="L1" s="19" t="s">
        <v>84</v>
      </c>
      <c r="M1" s="55"/>
      <c r="N1" s="55"/>
      <c r="O1" s="55" t="s">
        <v>84</v>
      </c>
      <c r="P1" s="55"/>
      <c r="Q1" s="55"/>
      <c r="R1" s="193"/>
      <c r="S1" s="193"/>
      <c r="T1" s="193"/>
      <c r="U1" s="193"/>
      <c r="V1" s="193"/>
      <c r="W1" s="193"/>
      <c r="X1" s="193"/>
      <c r="Y1" s="193"/>
      <c r="Z1" s="193" t="s">
        <v>85</v>
      </c>
      <c r="AA1" s="193" t="s">
        <v>86</v>
      </c>
      <c r="AB1" s="193" t="s">
        <v>87</v>
      </c>
      <c r="AC1" s="193" t="s">
        <v>88</v>
      </c>
      <c r="AD1" s="193" t="s">
        <v>89</v>
      </c>
    </row>
    <row r="2" spans="1:33" x14ac:dyDescent="0.2">
      <c r="A2" s="28" t="s">
        <v>90</v>
      </c>
      <c r="B2" s="29"/>
      <c r="C2" s="30"/>
      <c r="D2" s="31"/>
      <c r="E2" s="32"/>
      <c r="F2" s="32"/>
      <c r="G2" s="33"/>
      <c r="H2" s="31"/>
      <c r="I2" s="31"/>
      <c r="J2" s="31"/>
      <c r="K2" s="34"/>
      <c r="L2" s="34"/>
      <c r="M2" s="55"/>
      <c r="N2" s="55"/>
      <c r="O2" s="55" t="s">
        <v>91</v>
      </c>
      <c r="P2" s="74"/>
      <c r="Q2" s="74"/>
      <c r="R2" s="194"/>
      <c r="S2" s="194"/>
      <c r="T2" s="194"/>
      <c r="U2" s="194"/>
      <c r="V2" s="193"/>
      <c r="W2" s="193"/>
      <c r="X2" s="193" t="s">
        <v>92</v>
      </c>
      <c r="Y2" s="195">
        <f>(100-L3-L5)/100</f>
        <v>1</v>
      </c>
      <c r="Z2" s="196">
        <f>AA2/AA$5</f>
        <v>1</v>
      </c>
      <c r="AA2" s="195">
        <f>IF(AND(L3="",L5=""),100,Y2)</f>
        <v>100</v>
      </c>
      <c r="AB2" s="193"/>
      <c r="AC2" s="193"/>
      <c r="AD2" s="193"/>
    </row>
    <row r="3" spans="1:33" ht="15.75" thickBot="1" x14ac:dyDescent="0.25">
      <c r="A3" s="40" t="s">
        <v>93</v>
      </c>
      <c r="B3" s="41"/>
      <c r="C3" s="42"/>
      <c r="D3" s="31"/>
      <c r="E3" s="43"/>
      <c r="F3" s="31" t="s">
        <v>94</v>
      </c>
      <c r="G3" s="33"/>
      <c r="H3" s="31"/>
      <c r="I3" s="324" t="str">
        <f>CONCATENATE("% RAP Used (From ",MONTH(I1),"/",DAY(I1),"/",YEAR(I1)," Plant Report)")</f>
        <v>% RAP Used (From 1/0/1900 Plant Report)</v>
      </c>
      <c r="J3" s="325"/>
      <c r="K3" s="326"/>
      <c r="L3" s="44"/>
      <c r="M3" s="55"/>
      <c r="N3" s="55"/>
      <c r="O3" s="55"/>
      <c r="P3" s="74"/>
      <c r="Q3" s="74"/>
      <c r="R3" s="194"/>
      <c r="S3" s="194"/>
      <c r="T3" s="194"/>
      <c r="U3" s="194"/>
      <c r="V3" s="193"/>
      <c r="W3" s="193"/>
      <c r="X3" s="193" t="s">
        <v>95</v>
      </c>
      <c r="Y3" s="196">
        <f>L5/100</f>
        <v>0</v>
      </c>
      <c r="Z3" s="196">
        <f>AA3/AA$5</f>
        <v>0</v>
      </c>
      <c r="AA3" s="196">
        <f>Y3*AB3</f>
        <v>0</v>
      </c>
      <c r="AB3" s="196">
        <f>1-AC3-AD3-AE3</f>
        <v>0.9</v>
      </c>
      <c r="AC3" s="196">
        <f>L6*0.67/100</f>
        <v>0</v>
      </c>
      <c r="AD3" s="196">
        <f>0.1</f>
        <v>0.1</v>
      </c>
      <c r="AE3" s="197">
        <f>L6/100-AC3</f>
        <v>0</v>
      </c>
    </row>
    <row r="4" spans="1:33" x14ac:dyDescent="0.2">
      <c r="A4" s="46" t="str">
        <f>IF(L1="Metric","Total Minus 4.75mm (W1): ","Total Minus #4 (W1): ")</f>
        <v xml:space="preserve">Total Minus #4 (W1): </v>
      </c>
      <c r="B4" s="47"/>
      <c r="C4" s="48"/>
      <c r="D4" s="31"/>
      <c r="E4" s="31"/>
      <c r="F4" s="31" t="str">
        <f>IF(L1="Metric","(Using Box &amp; 203mm Sieves).","(Using Box &amp; 8 in. Sieves).")</f>
        <v>(Using Box &amp; 8 in. Sieves).</v>
      </c>
      <c r="G4" s="33"/>
      <c r="H4" s="31"/>
      <c r="I4" s="327" t="s">
        <v>96</v>
      </c>
      <c r="J4" s="327"/>
      <c r="K4" s="328"/>
      <c r="L4" s="44"/>
      <c r="M4" s="55"/>
      <c r="N4" s="55"/>
      <c r="O4" s="55"/>
      <c r="P4" s="74"/>
      <c r="Q4" s="74"/>
      <c r="R4" s="194"/>
      <c r="S4" s="194"/>
      <c r="T4" s="194"/>
      <c r="U4" s="194"/>
      <c r="V4" s="193"/>
      <c r="W4" s="193"/>
      <c r="X4" s="193" t="s">
        <v>97</v>
      </c>
      <c r="Y4" s="196">
        <f>L3/100</f>
        <v>0</v>
      </c>
      <c r="Z4" s="196">
        <f>AA4/AA$5</f>
        <v>0</v>
      </c>
      <c r="AA4" s="196">
        <f>Y4*AB4</f>
        <v>0</v>
      </c>
      <c r="AB4" s="196">
        <f>1-AC4</f>
        <v>1</v>
      </c>
      <c r="AC4" s="196">
        <f>L4/100</f>
        <v>0</v>
      </c>
      <c r="AD4" s="193"/>
    </row>
    <row r="5" spans="1:33" x14ac:dyDescent="0.2">
      <c r="A5" s="46" t="str">
        <f>IF(L1="Metric","Reduced Minus 4.75mm (W2): ","Reduced Minus #4 (W2): ")</f>
        <v xml:space="preserve">Reduced Minus #4 (W2): </v>
      </c>
      <c r="B5" s="47"/>
      <c r="C5" s="48"/>
      <c r="D5" s="31"/>
      <c r="E5" s="32"/>
      <c r="F5" s="32"/>
      <c r="G5" s="33"/>
      <c r="H5" s="31"/>
      <c r="I5" s="329" t="str">
        <f>CONCATENATE("% RAS Used (From ",MONTH(I1),"/",DAY(I1),"/",YEAR(I1)," Plant Report)")</f>
        <v>% RAS Used (From 1/0/1900 Plant Report)</v>
      </c>
      <c r="J5" s="329"/>
      <c r="K5" s="329"/>
      <c r="L5" s="49"/>
      <c r="M5" s="55"/>
      <c r="N5" s="55"/>
      <c r="O5" s="55"/>
      <c r="P5" s="74"/>
      <c r="Q5" s="74"/>
      <c r="R5" s="194"/>
      <c r="S5" s="194"/>
      <c r="T5" s="194"/>
      <c r="U5" s="194"/>
      <c r="V5" s="193"/>
      <c r="W5" s="193"/>
      <c r="X5" s="193" t="s">
        <v>98</v>
      </c>
      <c r="Y5" s="198">
        <f>Y4+Y3+Y2</f>
        <v>1</v>
      </c>
      <c r="Z5" s="196">
        <f>AA5/AA$5</f>
        <v>1</v>
      </c>
      <c r="AA5" s="196">
        <f>AA4+AA3+AA2</f>
        <v>100</v>
      </c>
      <c r="AB5" s="193"/>
      <c r="AC5" s="193"/>
      <c r="AD5" s="193"/>
    </row>
    <row r="6" spans="1:33" ht="15.75" thickBot="1" x14ac:dyDescent="0.25">
      <c r="A6" s="40" t="s">
        <v>99</v>
      </c>
      <c r="B6" s="41"/>
      <c r="C6" s="51" t="str">
        <f>IF(C5="","",ROUND(SUM(C4/C5),4))</f>
        <v/>
      </c>
      <c r="D6" s="31"/>
      <c r="E6" s="31"/>
      <c r="F6" s="31"/>
      <c r="G6" s="31"/>
      <c r="H6" s="31"/>
      <c r="I6" s="327" t="s">
        <v>100</v>
      </c>
      <c r="J6" s="327"/>
      <c r="K6" s="328"/>
      <c r="L6" s="49"/>
      <c r="M6" s="74"/>
      <c r="N6" s="74"/>
      <c r="O6" s="74"/>
      <c r="P6" s="74"/>
      <c r="Q6" s="74"/>
      <c r="R6" s="194"/>
      <c r="S6" s="194"/>
      <c r="T6" s="194"/>
      <c r="U6" s="194"/>
      <c r="V6" s="193"/>
      <c r="W6" s="193"/>
      <c r="X6" s="193"/>
      <c r="Y6" s="193"/>
      <c r="Z6" s="216"/>
      <c r="AA6" s="216"/>
      <c r="AB6" s="216"/>
      <c r="AC6" s="216"/>
      <c r="AD6" s="216"/>
      <c r="AE6" s="217"/>
      <c r="AF6" s="217"/>
      <c r="AG6" s="217"/>
    </row>
    <row r="7" spans="1:33" x14ac:dyDescent="0.2">
      <c r="A7" s="52"/>
      <c r="B7" s="53" t="s">
        <v>101</v>
      </c>
      <c r="C7" s="53" t="s">
        <v>102</v>
      </c>
      <c r="D7" s="53" t="s">
        <v>57</v>
      </c>
      <c r="E7" s="53" t="s">
        <v>57</v>
      </c>
      <c r="F7" s="53" t="s">
        <v>103</v>
      </c>
      <c r="G7" s="53" t="s">
        <v>104</v>
      </c>
      <c r="H7" s="53" t="s">
        <v>103</v>
      </c>
      <c r="I7" s="54" t="s">
        <v>97</v>
      </c>
      <c r="J7" s="54" t="s">
        <v>95</v>
      </c>
      <c r="K7" s="55"/>
      <c r="L7" s="55"/>
      <c r="M7" s="55"/>
      <c r="N7" s="55"/>
      <c r="O7" s="60" t="s">
        <v>57</v>
      </c>
      <c r="P7" s="55"/>
      <c r="Q7" s="55"/>
      <c r="R7" s="55"/>
      <c r="S7" s="193"/>
      <c r="T7" s="193"/>
      <c r="U7" s="193"/>
      <c r="V7" s="193"/>
      <c r="W7" s="200" t="s">
        <v>105</v>
      </c>
      <c r="X7" s="200" t="s">
        <v>106</v>
      </c>
      <c r="Y7" s="200" t="s">
        <v>97</v>
      </c>
      <c r="Z7" s="218" t="s">
        <v>107</v>
      </c>
      <c r="AA7" s="218" t="s">
        <v>108</v>
      </c>
      <c r="AB7" s="218" t="s">
        <v>95</v>
      </c>
      <c r="AC7" s="218" t="s">
        <v>109</v>
      </c>
      <c r="AD7" s="218" t="s">
        <v>109</v>
      </c>
      <c r="AE7" s="217"/>
      <c r="AF7" s="217"/>
      <c r="AG7" s="217"/>
    </row>
    <row r="8" spans="1:33" x14ac:dyDescent="0.2">
      <c r="A8" s="58" t="s">
        <v>110</v>
      </c>
      <c r="B8" s="59" t="str">
        <f>IF(L1="Metric","Minus 4.75","Minus #4")</f>
        <v>Minus #4</v>
      </c>
      <c r="C8" s="59" t="s">
        <v>111</v>
      </c>
      <c r="D8" s="59" t="s">
        <v>112</v>
      </c>
      <c r="E8" s="59" t="s">
        <v>113</v>
      </c>
      <c r="F8" s="59" t="s">
        <v>114</v>
      </c>
      <c r="G8" s="59" t="s">
        <v>115</v>
      </c>
      <c r="H8" s="59" t="s">
        <v>114</v>
      </c>
      <c r="I8" s="54" t="s">
        <v>116</v>
      </c>
      <c r="J8" s="54" t="s">
        <v>116</v>
      </c>
      <c r="K8" s="60" t="s">
        <v>114</v>
      </c>
      <c r="L8" s="55"/>
      <c r="M8" s="55"/>
      <c r="N8" s="55"/>
      <c r="O8" s="60" t="s">
        <v>112</v>
      </c>
      <c r="P8" s="55"/>
      <c r="Q8" s="55"/>
      <c r="R8" s="55"/>
      <c r="S8" s="193"/>
      <c r="T8" s="193"/>
      <c r="U8" s="193"/>
      <c r="V8" s="193"/>
      <c r="W8" s="200" t="s">
        <v>117</v>
      </c>
      <c r="X8" s="200" t="s">
        <v>118</v>
      </c>
      <c r="Y8" s="200" t="s">
        <v>119</v>
      </c>
      <c r="Z8" s="218" t="s">
        <v>117</v>
      </c>
      <c r="AA8" s="218" t="s">
        <v>118</v>
      </c>
      <c r="AB8" s="218" t="s">
        <v>119</v>
      </c>
      <c r="AC8" s="218" t="s">
        <v>117</v>
      </c>
      <c r="AD8" s="218" t="s">
        <v>118</v>
      </c>
      <c r="AE8" s="217"/>
      <c r="AF8" s="217"/>
      <c r="AG8" s="217"/>
    </row>
    <row r="9" spans="1:33" x14ac:dyDescent="0.2">
      <c r="A9" s="62" t="str">
        <f>IF(L1="Metric","37.5mm","1 1/2 in.")</f>
        <v>1 1/2 in.</v>
      </c>
      <c r="B9" s="63"/>
      <c r="C9" s="64"/>
      <c r="D9" s="65" t="str">
        <f>IF(OR(C$2="",C$3=""),"",IF(C9="",0,(O9)))</f>
        <v/>
      </c>
      <c r="E9" s="66" t="str">
        <f>IF(D23="","",100)</f>
        <v/>
      </c>
      <c r="F9" s="62" t="str">
        <f>IF(E9="","",IF(E9&gt;9.9,ROUND(E9,0),ROUND(E9,1)))</f>
        <v/>
      </c>
      <c r="G9" s="67" t="str">
        <f>IF(ISERROR(IF(AND(AA9="",AD9=""),0,SUM(X9,AA9,AD9))),"",IF(AND(AA9="",AD9=""),0,SUM(X9,AA9,AD9)))</f>
        <v/>
      </c>
      <c r="H9" s="68">
        <f>IF(F9="",0,IF(G9&gt;9.9,ROUND(G9,0),ROUND(G9,1)))</f>
        <v>0</v>
      </c>
      <c r="I9" s="69"/>
      <c r="J9" s="70" t="str">
        <f t="shared" ref="J9:J12" si="0">IF(L$6="","",100)</f>
        <v/>
      </c>
      <c r="K9" s="55"/>
      <c r="L9" s="55"/>
      <c r="M9" s="55"/>
      <c r="N9" s="55"/>
      <c r="O9" s="60" t="e">
        <f t="shared" ref="O9:O20" si="1">ROUND(IF(C9="","",SUM(C9/$C$2)*100),1)</f>
        <v>#VALUE!</v>
      </c>
      <c r="P9" s="60" t="s">
        <v>120</v>
      </c>
      <c r="Q9" s="60">
        <v>2</v>
      </c>
      <c r="R9" s="60" t="s">
        <v>121</v>
      </c>
      <c r="S9" s="200" t="s">
        <v>122</v>
      </c>
      <c r="T9" s="200" t="s">
        <v>123</v>
      </c>
      <c r="U9" s="200">
        <v>6</v>
      </c>
      <c r="V9" s="193"/>
      <c r="W9" s="200">
        <f>Z2*100</f>
        <v>100</v>
      </c>
      <c r="X9" s="200" t="e">
        <f t="shared" ref="X9:X20" si="2">ROUND(IF(W9="",0,SUM(F9*(W9/100))),1)</f>
        <v>#VALUE!</v>
      </c>
      <c r="Y9" s="201">
        <f>I9</f>
        <v>0</v>
      </c>
      <c r="Z9" s="218">
        <f>Z4*100</f>
        <v>0</v>
      </c>
      <c r="AA9" s="218">
        <f>ROUND(IF(Z9="",0,SUM(Y9*(Z9/100))),1)</f>
        <v>0</v>
      </c>
      <c r="AB9" s="219" t="str">
        <f>J9</f>
        <v/>
      </c>
      <c r="AC9" s="220">
        <f>Z3*100</f>
        <v>0</v>
      </c>
      <c r="AD9" s="216">
        <f t="shared" ref="AD9:AD20" si="3">ROUND(IF(AB9="",0,SUM(AB9*(AC9/100))),1)</f>
        <v>0</v>
      </c>
      <c r="AE9" s="217"/>
      <c r="AF9" s="217"/>
      <c r="AG9" s="217"/>
    </row>
    <row r="10" spans="1:33" x14ac:dyDescent="0.2">
      <c r="A10" s="62" t="str">
        <f>IF(L1="Metric","25mm","1 in.")</f>
        <v>1 in.</v>
      </c>
      <c r="B10" s="63"/>
      <c r="C10" s="64"/>
      <c r="D10" s="65" t="str">
        <f t="shared" ref="D10:D21" si="4">IF(OR(C$2="",C$3=""),"",IF(C10="",0,(O10)))</f>
        <v/>
      </c>
      <c r="E10" s="65" t="str">
        <f t="shared" ref="E10:E20" si="5">IF(E9="","",SUM(E9-D10))</f>
        <v/>
      </c>
      <c r="F10" s="62" t="str">
        <f t="shared" ref="F10:F20" si="6">IF(E10="","",IF(E10&gt;9.9,ROUND(E10,0),ROUND(E10,1)))</f>
        <v/>
      </c>
      <c r="G10" s="67" t="str">
        <f t="shared" ref="G10:G20" si="7">IF(ISERROR(IF(AND(AA10="",AD10=""),0,SUM(X10,AA10,AD10))),"",IF(AND(AA10="",AD10=""),0,SUM(X10,AA10,AD10)))</f>
        <v/>
      </c>
      <c r="H10" s="68">
        <f t="shared" ref="H10:H20" si="8">IF(F10="",0,IF(G10&gt;9.9,ROUND(G10,0),ROUND(G10,1)))</f>
        <v>0</v>
      </c>
      <c r="I10" s="69"/>
      <c r="J10" s="70" t="str">
        <f t="shared" si="0"/>
        <v/>
      </c>
      <c r="K10" s="60" t="e">
        <f>IF(O$22=100,(O10),IF(P$22=100,(P10),IF(Q$22=100,(Q10),IF(R$22=100,(R10),IF(S$22=100,(S10),IF(T$22=100,(T10),IF(U20=100,(U10),(U10))))))))</f>
        <v>#VALUE!</v>
      </c>
      <c r="L10" s="60" t="s">
        <v>124</v>
      </c>
      <c r="M10" s="55"/>
      <c r="N10" s="55"/>
      <c r="O10" s="60" t="e">
        <f t="shared" si="1"/>
        <v>#VALUE!</v>
      </c>
      <c r="P10" s="60" t="e">
        <f t="shared" ref="P10:P21" si="9">ROUND(IF(O10=L$12,M$12,O10),1)</f>
        <v>#VALUE!</v>
      </c>
      <c r="Q10" s="60" t="e">
        <f t="shared" ref="Q10:Q21" si="10">ROUND(IF(P10=L$13,M$13,P10),1)</f>
        <v>#VALUE!</v>
      </c>
      <c r="R10" s="60" t="e">
        <f t="shared" ref="R10:R21" si="11">ROUND(IF(Q10=L$14,M$14,Q10),1)</f>
        <v>#VALUE!</v>
      </c>
      <c r="S10" s="200" t="e">
        <f t="shared" ref="S10:S21" si="12">ROUND(IF(R10=L$15,M$15,R10),1)</f>
        <v>#VALUE!</v>
      </c>
      <c r="T10" s="200" t="e">
        <f t="shared" ref="T10:T21" si="13">ROUND(IF(S10=L$16,M$16,S10),1)</f>
        <v>#VALUE!</v>
      </c>
      <c r="U10" s="200" t="e">
        <f t="shared" ref="U10:U21" si="14">ROUND(IF(T10=L$17,M$17,T10),1)</f>
        <v>#VALUE!</v>
      </c>
      <c r="V10" s="193"/>
      <c r="W10" s="200">
        <f t="shared" ref="W10:W20" si="15">(W9)</f>
        <v>100</v>
      </c>
      <c r="X10" s="200" t="e">
        <f t="shared" si="2"/>
        <v>#VALUE!</v>
      </c>
      <c r="Y10" s="201">
        <f t="shared" ref="Y10:Y20" si="16">I10</f>
        <v>0</v>
      </c>
      <c r="Z10" s="218">
        <f t="shared" ref="Z10:Z20" si="17">(Z9)</f>
        <v>0</v>
      </c>
      <c r="AA10" s="218">
        <f t="shared" ref="AA10:AA20" si="18">ROUND(IF(Z10="",0,SUM(Y10*(Z10/100))),1)</f>
        <v>0</v>
      </c>
      <c r="AB10" s="219" t="str">
        <f t="shared" ref="AB10:AB20" si="19">J10</f>
        <v/>
      </c>
      <c r="AC10" s="220">
        <f>AC9</f>
        <v>0</v>
      </c>
      <c r="AD10" s="216">
        <f t="shared" si="3"/>
        <v>0</v>
      </c>
      <c r="AE10" s="217"/>
      <c r="AF10" s="217"/>
      <c r="AG10" s="217"/>
    </row>
    <row r="11" spans="1:33" x14ac:dyDescent="0.2">
      <c r="A11" s="62" t="str">
        <f>IF(L1="Metric","19mm","3/4 in.")</f>
        <v>3/4 in.</v>
      </c>
      <c r="B11" s="63"/>
      <c r="C11" s="64"/>
      <c r="D11" s="65" t="str">
        <f t="shared" si="4"/>
        <v/>
      </c>
      <c r="E11" s="65" t="str">
        <f t="shared" si="5"/>
        <v/>
      </c>
      <c r="F11" s="62" t="str">
        <f t="shared" si="6"/>
        <v/>
      </c>
      <c r="G11" s="67" t="str">
        <f t="shared" si="7"/>
        <v/>
      </c>
      <c r="H11" s="68">
        <f t="shared" si="8"/>
        <v>0</v>
      </c>
      <c r="I11" s="69"/>
      <c r="J11" s="70" t="str">
        <f t="shared" si="0"/>
        <v/>
      </c>
      <c r="K11" s="60" t="e">
        <f>IF(O$22=100,(O11),IF(P$22=100,(P11),IF(Q$22=100,(Q11),IF(R$22=100,(R11),IF(S$22=100,(S11),IF(T$22=100,(T11),IF(U21=100,(U11),(U11))))))))</f>
        <v>#VALUE!</v>
      </c>
      <c r="L11" s="60" t="s">
        <v>125</v>
      </c>
      <c r="M11" s="55"/>
      <c r="N11" s="55"/>
      <c r="O11" s="60" t="e">
        <f>ROUND(IF(C11="","",SUM(C11/$C$2)*100),1)</f>
        <v>#VALUE!</v>
      </c>
      <c r="P11" s="60" t="e">
        <f>ROUND(IF(O11=L$12,M$12,O11),1)</f>
        <v>#VALUE!</v>
      </c>
      <c r="Q11" s="60" t="e">
        <f t="shared" si="10"/>
        <v>#VALUE!</v>
      </c>
      <c r="R11" s="60" t="e">
        <f t="shared" si="11"/>
        <v>#VALUE!</v>
      </c>
      <c r="S11" s="200" t="e">
        <f t="shared" si="12"/>
        <v>#VALUE!</v>
      </c>
      <c r="T11" s="200" t="e">
        <f t="shared" si="13"/>
        <v>#VALUE!</v>
      </c>
      <c r="U11" s="200" t="e">
        <f t="shared" si="14"/>
        <v>#VALUE!</v>
      </c>
      <c r="V11" s="194"/>
      <c r="W11" s="200">
        <f t="shared" si="15"/>
        <v>100</v>
      </c>
      <c r="X11" s="200" t="e">
        <f t="shared" si="2"/>
        <v>#VALUE!</v>
      </c>
      <c r="Y11" s="201">
        <f t="shared" si="16"/>
        <v>0</v>
      </c>
      <c r="Z11" s="218">
        <f t="shared" si="17"/>
        <v>0</v>
      </c>
      <c r="AA11" s="218">
        <f t="shared" si="18"/>
        <v>0</v>
      </c>
      <c r="AB11" s="219" t="str">
        <f t="shared" si="19"/>
        <v/>
      </c>
      <c r="AC11" s="220">
        <f t="shared" ref="AC11:AC20" si="20">AC10</f>
        <v>0</v>
      </c>
      <c r="AD11" s="216">
        <f t="shared" si="3"/>
        <v>0</v>
      </c>
      <c r="AE11" s="217"/>
      <c r="AF11" s="217"/>
      <c r="AG11" s="217"/>
    </row>
    <row r="12" spans="1:33" x14ac:dyDescent="0.2">
      <c r="A12" s="62" t="str">
        <f>IF(L1="Metric","12.5mm","1/2 in.")</f>
        <v>1/2 in.</v>
      </c>
      <c r="B12" s="63"/>
      <c r="C12" s="64"/>
      <c r="D12" s="65" t="str">
        <f t="shared" si="4"/>
        <v/>
      </c>
      <c r="E12" s="65" t="str">
        <f t="shared" si="5"/>
        <v/>
      </c>
      <c r="F12" s="62" t="str">
        <f t="shared" si="6"/>
        <v/>
      </c>
      <c r="G12" s="67" t="str">
        <f t="shared" si="7"/>
        <v/>
      </c>
      <c r="H12" s="68">
        <f t="shared" si="8"/>
        <v>0</v>
      </c>
      <c r="I12" s="69"/>
      <c r="J12" s="70" t="str">
        <f t="shared" si="0"/>
        <v/>
      </c>
      <c r="K12" s="60" t="e">
        <f>IF(O$22=100,(O12),IF(P$22=100,(P12),IF(Q$22=100,(Q12),IF(R$22=100,(R12),IF(S$22=100,(S12),IF(T$22=100,(T12),IF(U22=100,(U12),(U12))))))))</f>
        <v>#VALUE!</v>
      </c>
      <c r="L12" s="60" t="e">
        <f>LARGE(O$9:O$21,1)</f>
        <v>#VALUE!</v>
      </c>
      <c r="M12" s="60" t="e">
        <f>IF(O22&lt;100,(L12+0.1),IF(O22&gt;100,(L12-0.1),L12))</f>
        <v>#VALUE!</v>
      </c>
      <c r="N12" s="55"/>
      <c r="O12" s="60" t="e">
        <f t="shared" si="1"/>
        <v>#VALUE!</v>
      </c>
      <c r="P12" s="60" t="e">
        <f t="shared" si="9"/>
        <v>#VALUE!</v>
      </c>
      <c r="Q12" s="60" t="e">
        <f t="shared" si="10"/>
        <v>#VALUE!</v>
      </c>
      <c r="R12" s="60" t="e">
        <f t="shared" si="11"/>
        <v>#VALUE!</v>
      </c>
      <c r="S12" s="200" t="e">
        <f t="shared" si="12"/>
        <v>#VALUE!</v>
      </c>
      <c r="T12" s="200" t="e">
        <f t="shared" si="13"/>
        <v>#VALUE!</v>
      </c>
      <c r="U12" s="200" t="e">
        <f t="shared" si="14"/>
        <v>#VALUE!</v>
      </c>
      <c r="V12" s="194"/>
      <c r="W12" s="200">
        <f t="shared" si="15"/>
        <v>100</v>
      </c>
      <c r="X12" s="200" t="e">
        <f t="shared" si="2"/>
        <v>#VALUE!</v>
      </c>
      <c r="Y12" s="201">
        <f t="shared" si="16"/>
        <v>0</v>
      </c>
      <c r="Z12" s="218">
        <f t="shared" si="17"/>
        <v>0</v>
      </c>
      <c r="AA12" s="218">
        <f t="shared" si="18"/>
        <v>0</v>
      </c>
      <c r="AB12" s="219" t="str">
        <f t="shared" si="19"/>
        <v/>
      </c>
      <c r="AC12" s="220">
        <f t="shared" si="20"/>
        <v>0</v>
      </c>
      <c r="AD12" s="216">
        <f t="shared" si="3"/>
        <v>0</v>
      </c>
      <c r="AE12" s="217"/>
      <c r="AF12" s="217"/>
      <c r="AG12" s="217"/>
    </row>
    <row r="13" spans="1:33" x14ac:dyDescent="0.2">
      <c r="A13" s="62" t="str">
        <f>IF(L1="Metric","9.5mm","3/8 in.")</f>
        <v>3/8 in.</v>
      </c>
      <c r="B13" s="63"/>
      <c r="C13" s="64"/>
      <c r="D13" s="65" t="str">
        <f t="shared" si="4"/>
        <v/>
      </c>
      <c r="E13" s="65" t="str">
        <f t="shared" si="5"/>
        <v/>
      </c>
      <c r="F13" s="62" t="str">
        <f t="shared" si="6"/>
        <v/>
      </c>
      <c r="G13" s="67" t="str">
        <f t="shared" si="7"/>
        <v/>
      </c>
      <c r="H13" s="68">
        <f t="shared" si="8"/>
        <v>0</v>
      </c>
      <c r="I13" s="69"/>
      <c r="J13" s="70" t="str">
        <f>IF(L$6="","",100)</f>
        <v/>
      </c>
      <c r="K13" s="60" t="e">
        <f>IF(O$22=100,(O13),IF(P$22=100,(P13),IF(Q$22=100,(Q13),IF(R$22=100,(R13),IF(S$22=100,(S13),IF(T$22=100,(T13),IF(U22=100,(U13),(U13))))))))</f>
        <v>#VALUE!</v>
      </c>
      <c r="L13" s="60" t="e">
        <f>LARGE(O$9:O$21,2)</f>
        <v>#VALUE!</v>
      </c>
      <c r="M13" s="60" t="e">
        <f>IF(P22&lt;100,(L13+0.1),IF(P22&gt;100,(L13-0.1),L13))</f>
        <v>#VALUE!</v>
      </c>
      <c r="N13" s="55"/>
      <c r="O13" s="60" t="e">
        <f t="shared" si="1"/>
        <v>#VALUE!</v>
      </c>
      <c r="P13" s="60" t="e">
        <f t="shared" si="9"/>
        <v>#VALUE!</v>
      </c>
      <c r="Q13" s="60" t="e">
        <f t="shared" si="10"/>
        <v>#VALUE!</v>
      </c>
      <c r="R13" s="60" t="e">
        <f t="shared" si="11"/>
        <v>#VALUE!</v>
      </c>
      <c r="S13" s="200" t="e">
        <f t="shared" si="12"/>
        <v>#VALUE!</v>
      </c>
      <c r="T13" s="200" t="e">
        <f t="shared" si="13"/>
        <v>#VALUE!</v>
      </c>
      <c r="U13" s="200" t="e">
        <f t="shared" si="14"/>
        <v>#VALUE!</v>
      </c>
      <c r="V13" s="194"/>
      <c r="W13" s="200">
        <f t="shared" si="15"/>
        <v>100</v>
      </c>
      <c r="X13" s="200" t="e">
        <f t="shared" si="2"/>
        <v>#VALUE!</v>
      </c>
      <c r="Y13" s="201">
        <f t="shared" si="16"/>
        <v>0</v>
      </c>
      <c r="Z13" s="218">
        <f t="shared" si="17"/>
        <v>0</v>
      </c>
      <c r="AA13" s="218">
        <f t="shared" si="18"/>
        <v>0</v>
      </c>
      <c r="AB13" s="219" t="str">
        <f t="shared" si="19"/>
        <v/>
      </c>
      <c r="AC13" s="220">
        <f t="shared" si="20"/>
        <v>0</v>
      </c>
      <c r="AD13" s="216">
        <f t="shared" si="3"/>
        <v>0</v>
      </c>
      <c r="AE13" s="217"/>
      <c r="AF13" s="217"/>
      <c r="AG13" s="217"/>
    </row>
    <row r="14" spans="1:33" x14ac:dyDescent="0.2">
      <c r="A14" s="62" t="str">
        <f>IF(L1="Metric","4.75mm","#4")</f>
        <v>#4</v>
      </c>
      <c r="B14" s="63"/>
      <c r="C14" s="64"/>
      <c r="D14" s="65" t="str">
        <f t="shared" si="4"/>
        <v/>
      </c>
      <c r="E14" s="65" t="str">
        <f t="shared" si="5"/>
        <v/>
      </c>
      <c r="F14" s="62" t="str">
        <f t="shared" si="6"/>
        <v/>
      </c>
      <c r="G14" s="67" t="str">
        <f t="shared" si="7"/>
        <v/>
      </c>
      <c r="H14" s="68">
        <f t="shared" si="8"/>
        <v>0</v>
      </c>
      <c r="I14" s="69"/>
      <c r="J14" s="70" t="str">
        <f>IF(L6="","",95)</f>
        <v/>
      </c>
      <c r="K14" s="60" t="e">
        <f>IF(O$22=100,(O14),IF(P$22=100,(P14),IF(Q$22=100,(Q14),IF(R$22=100,(R14),IF(S$22=100,(S14),IF(T$22=100,(T14),IF(U22=100,(U14),(U14))))))))</f>
        <v>#VALUE!</v>
      </c>
      <c r="L14" s="60" t="e">
        <f>LARGE(O$9:O$21,3)</f>
        <v>#VALUE!</v>
      </c>
      <c r="M14" s="60" t="e">
        <f>IF(Q22&lt;100,(L14+0.1),IF(Q22&gt;100,(L14-0.1),L14))</f>
        <v>#VALUE!</v>
      </c>
      <c r="N14" s="55"/>
      <c r="O14" s="60" t="e">
        <f t="shared" si="1"/>
        <v>#VALUE!</v>
      </c>
      <c r="P14" s="60" t="e">
        <f t="shared" si="9"/>
        <v>#VALUE!</v>
      </c>
      <c r="Q14" s="60" t="e">
        <f t="shared" si="10"/>
        <v>#VALUE!</v>
      </c>
      <c r="R14" s="60" t="e">
        <f t="shared" si="11"/>
        <v>#VALUE!</v>
      </c>
      <c r="S14" s="200" t="e">
        <f t="shared" si="12"/>
        <v>#VALUE!</v>
      </c>
      <c r="T14" s="200" t="e">
        <f t="shared" si="13"/>
        <v>#VALUE!</v>
      </c>
      <c r="U14" s="200" t="e">
        <f t="shared" si="14"/>
        <v>#VALUE!</v>
      </c>
      <c r="V14" s="194"/>
      <c r="W14" s="200">
        <f t="shared" si="15"/>
        <v>100</v>
      </c>
      <c r="X14" s="200" t="e">
        <f t="shared" si="2"/>
        <v>#VALUE!</v>
      </c>
      <c r="Y14" s="201">
        <f t="shared" si="16"/>
        <v>0</v>
      </c>
      <c r="Z14" s="218">
        <f t="shared" si="17"/>
        <v>0</v>
      </c>
      <c r="AA14" s="218">
        <f t="shared" si="18"/>
        <v>0</v>
      </c>
      <c r="AB14" s="219" t="str">
        <f t="shared" si="19"/>
        <v/>
      </c>
      <c r="AC14" s="220">
        <f t="shared" si="20"/>
        <v>0</v>
      </c>
      <c r="AD14" s="216">
        <f t="shared" si="3"/>
        <v>0</v>
      </c>
      <c r="AE14" s="217"/>
      <c r="AF14" s="217"/>
      <c r="AG14" s="217"/>
    </row>
    <row r="15" spans="1:33" x14ac:dyDescent="0.2">
      <c r="A15" s="62" t="str">
        <f>IF(L1="Metric","2.36mm","#8")</f>
        <v>#8</v>
      </c>
      <c r="B15" s="73"/>
      <c r="C15" s="64"/>
      <c r="D15" s="65" t="str">
        <f t="shared" si="4"/>
        <v/>
      </c>
      <c r="E15" s="65" t="str">
        <f t="shared" si="5"/>
        <v/>
      </c>
      <c r="F15" s="62" t="str">
        <f t="shared" si="6"/>
        <v/>
      </c>
      <c r="G15" s="67" t="str">
        <f t="shared" si="7"/>
        <v/>
      </c>
      <c r="H15" s="68">
        <f t="shared" si="8"/>
        <v>0</v>
      </c>
      <c r="I15" s="69"/>
      <c r="J15" s="70" t="str">
        <f>IF(L6="","",85)</f>
        <v/>
      </c>
      <c r="K15" s="60" t="e">
        <f>IF(O$22=100,(O15),IF(P$22=100,(P15),IF(Q$22=100,(Q15),IF(R$22=100,(R15),IF(S$22=100,(S15),IF(T$22=100,(T15),IF(U22=100,(U15),(U15))))))))</f>
        <v>#VALUE!</v>
      </c>
      <c r="L15" s="60" t="e">
        <f>LARGE(O$9:O$21,4)</f>
        <v>#VALUE!</v>
      </c>
      <c r="M15" s="60" t="e">
        <f>IF(R22&lt;100,(L15+0.1),IF(R22&gt;100,(L15-0.1),L15))</f>
        <v>#VALUE!</v>
      </c>
      <c r="N15" s="74"/>
      <c r="O15" s="60" t="e">
        <f t="shared" si="1"/>
        <v>#VALUE!</v>
      </c>
      <c r="P15" s="60" t="e">
        <f t="shared" si="9"/>
        <v>#VALUE!</v>
      </c>
      <c r="Q15" s="60" t="e">
        <f t="shared" si="10"/>
        <v>#VALUE!</v>
      </c>
      <c r="R15" s="60" t="e">
        <f t="shared" si="11"/>
        <v>#VALUE!</v>
      </c>
      <c r="S15" s="200" t="e">
        <f t="shared" si="12"/>
        <v>#VALUE!</v>
      </c>
      <c r="T15" s="200" t="e">
        <f t="shared" si="13"/>
        <v>#VALUE!</v>
      </c>
      <c r="U15" s="200" t="e">
        <f t="shared" si="14"/>
        <v>#VALUE!</v>
      </c>
      <c r="V15" s="194"/>
      <c r="W15" s="200">
        <f t="shared" si="15"/>
        <v>100</v>
      </c>
      <c r="X15" s="200" t="e">
        <f t="shared" si="2"/>
        <v>#VALUE!</v>
      </c>
      <c r="Y15" s="201">
        <f t="shared" si="16"/>
        <v>0</v>
      </c>
      <c r="Z15" s="218">
        <f t="shared" si="17"/>
        <v>0</v>
      </c>
      <c r="AA15" s="218">
        <f t="shared" si="18"/>
        <v>0</v>
      </c>
      <c r="AB15" s="219" t="str">
        <f t="shared" si="19"/>
        <v/>
      </c>
      <c r="AC15" s="220">
        <f t="shared" si="20"/>
        <v>0</v>
      </c>
      <c r="AD15" s="216">
        <f t="shared" si="3"/>
        <v>0</v>
      </c>
      <c r="AE15" s="217"/>
      <c r="AF15" s="217"/>
      <c r="AG15" s="217"/>
    </row>
    <row r="16" spans="1:33" x14ac:dyDescent="0.2">
      <c r="A16" s="62" t="str">
        <f>IF(L1="Metric","1.18mm","#16")</f>
        <v>#16</v>
      </c>
      <c r="B16" s="73"/>
      <c r="C16" s="64"/>
      <c r="D16" s="65" t="str">
        <f t="shared" si="4"/>
        <v/>
      </c>
      <c r="E16" s="65" t="str">
        <f t="shared" si="5"/>
        <v/>
      </c>
      <c r="F16" s="62" t="str">
        <f t="shared" si="6"/>
        <v/>
      </c>
      <c r="G16" s="67" t="str">
        <f t="shared" si="7"/>
        <v/>
      </c>
      <c r="H16" s="68">
        <f t="shared" si="8"/>
        <v>0</v>
      </c>
      <c r="I16" s="69"/>
      <c r="J16" s="70" t="str">
        <f>IF(L6="","",70)</f>
        <v/>
      </c>
      <c r="K16" s="60" t="e">
        <f>IF(O$22=100,(O16),IF(P$22=100,(P16),IF(Q$22=100,(Q16),IF(R$22=100,(R16),IF(S$22=100,(S16),IF(T$22=100,(T16),IF(U22=100,(U16),(U16))))))))</f>
        <v>#VALUE!</v>
      </c>
      <c r="L16" s="60" t="e">
        <f>LARGE(O$9:O$21,5)</f>
        <v>#VALUE!</v>
      </c>
      <c r="M16" s="60" t="e">
        <f>IF(S22&lt;100,(L16+0.1),IF(S22&gt;100,(L16-0.1),L16))</f>
        <v>#VALUE!</v>
      </c>
      <c r="N16" s="55"/>
      <c r="O16" s="60" t="e">
        <f t="shared" si="1"/>
        <v>#VALUE!</v>
      </c>
      <c r="P16" s="60" t="e">
        <f t="shared" si="9"/>
        <v>#VALUE!</v>
      </c>
      <c r="Q16" s="60" t="e">
        <f t="shared" si="10"/>
        <v>#VALUE!</v>
      </c>
      <c r="R16" s="60" t="e">
        <f t="shared" si="11"/>
        <v>#VALUE!</v>
      </c>
      <c r="S16" s="200" t="e">
        <f t="shared" si="12"/>
        <v>#VALUE!</v>
      </c>
      <c r="T16" s="200" t="e">
        <f t="shared" si="13"/>
        <v>#VALUE!</v>
      </c>
      <c r="U16" s="200" t="e">
        <f t="shared" si="14"/>
        <v>#VALUE!</v>
      </c>
      <c r="V16" s="194"/>
      <c r="W16" s="200">
        <f t="shared" si="15"/>
        <v>100</v>
      </c>
      <c r="X16" s="200" t="e">
        <f t="shared" si="2"/>
        <v>#VALUE!</v>
      </c>
      <c r="Y16" s="201">
        <f t="shared" si="16"/>
        <v>0</v>
      </c>
      <c r="Z16" s="218">
        <f t="shared" si="17"/>
        <v>0</v>
      </c>
      <c r="AA16" s="218">
        <f t="shared" si="18"/>
        <v>0</v>
      </c>
      <c r="AB16" s="219" t="str">
        <f t="shared" si="19"/>
        <v/>
      </c>
      <c r="AC16" s="220">
        <f t="shared" si="20"/>
        <v>0</v>
      </c>
      <c r="AD16" s="216">
        <f t="shared" si="3"/>
        <v>0</v>
      </c>
      <c r="AE16" s="217"/>
      <c r="AF16" s="217"/>
      <c r="AG16" s="217"/>
    </row>
    <row r="17" spans="1:33" x14ac:dyDescent="0.2">
      <c r="A17" s="62" t="str">
        <f>IF(L1="Metric","600um","#30")</f>
        <v>#30</v>
      </c>
      <c r="B17" s="73"/>
      <c r="C17" s="64"/>
      <c r="D17" s="65" t="str">
        <f t="shared" si="4"/>
        <v/>
      </c>
      <c r="E17" s="65" t="str">
        <f t="shared" si="5"/>
        <v/>
      </c>
      <c r="F17" s="62" t="str">
        <f t="shared" si="6"/>
        <v/>
      </c>
      <c r="G17" s="67" t="str">
        <f t="shared" si="7"/>
        <v/>
      </c>
      <c r="H17" s="68">
        <f t="shared" si="8"/>
        <v>0</v>
      </c>
      <c r="I17" s="69"/>
      <c r="J17" s="70" t="str">
        <f>IF(L6="","",50)</f>
        <v/>
      </c>
      <c r="K17" s="60" t="e">
        <f>IF(O$22=100,(O17),IF(P$22=100,(P17),IF(Q$22=100,(Q17),IF(R$22=100,(R17),IF(S$22=100,(S17),IF(T$22=100,(T17),IF(U22=100,(U17),(U17))))))))</f>
        <v>#VALUE!</v>
      </c>
      <c r="L17" s="60" t="e">
        <f>LARGE(O$9:O$21,6)</f>
        <v>#VALUE!</v>
      </c>
      <c r="M17" s="60" t="e">
        <f>IF(T22&lt;100,(L17+0.1),IF(T22&gt;100,(L17-0.1),L17))</f>
        <v>#VALUE!</v>
      </c>
      <c r="N17" s="55"/>
      <c r="O17" s="60" t="e">
        <f t="shared" si="1"/>
        <v>#VALUE!</v>
      </c>
      <c r="P17" s="60" t="e">
        <f t="shared" si="9"/>
        <v>#VALUE!</v>
      </c>
      <c r="Q17" s="60" t="e">
        <f t="shared" si="10"/>
        <v>#VALUE!</v>
      </c>
      <c r="R17" s="60" t="e">
        <f t="shared" si="11"/>
        <v>#VALUE!</v>
      </c>
      <c r="S17" s="200" t="e">
        <f t="shared" si="12"/>
        <v>#VALUE!</v>
      </c>
      <c r="T17" s="200" t="e">
        <f t="shared" si="13"/>
        <v>#VALUE!</v>
      </c>
      <c r="U17" s="200" t="e">
        <f t="shared" si="14"/>
        <v>#VALUE!</v>
      </c>
      <c r="V17" s="194"/>
      <c r="W17" s="200">
        <f t="shared" si="15"/>
        <v>100</v>
      </c>
      <c r="X17" s="200" t="e">
        <f t="shared" si="2"/>
        <v>#VALUE!</v>
      </c>
      <c r="Y17" s="201">
        <f t="shared" si="16"/>
        <v>0</v>
      </c>
      <c r="Z17" s="218">
        <f t="shared" si="17"/>
        <v>0</v>
      </c>
      <c r="AA17" s="218">
        <f t="shared" si="18"/>
        <v>0</v>
      </c>
      <c r="AB17" s="219" t="str">
        <f t="shared" si="19"/>
        <v/>
      </c>
      <c r="AC17" s="220">
        <f t="shared" si="20"/>
        <v>0</v>
      </c>
      <c r="AD17" s="216">
        <f t="shared" si="3"/>
        <v>0</v>
      </c>
      <c r="AE17" s="217"/>
      <c r="AF17" s="217"/>
      <c r="AG17" s="217"/>
    </row>
    <row r="18" spans="1:33" x14ac:dyDescent="0.2">
      <c r="A18" s="62" t="str">
        <f>IF(L1="Metric","300um","#50")</f>
        <v>#50</v>
      </c>
      <c r="B18" s="73"/>
      <c r="C18" s="64"/>
      <c r="D18" s="65" t="str">
        <f t="shared" si="4"/>
        <v/>
      </c>
      <c r="E18" s="65" t="str">
        <f t="shared" si="5"/>
        <v/>
      </c>
      <c r="F18" s="62" t="str">
        <f t="shared" si="6"/>
        <v/>
      </c>
      <c r="G18" s="67" t="str">
        <f t="shared" si="7"/>
        <v/>
      </c>
      <c r="H18" s="68">
        <f t="shared" si="8"/>
        <v>0</v>
      </c>
      <c r="I18" s="69"/>
      <c r="J18" s="70" t="str">
        <f>IF(L6="","",45)</f>
        <v/>
      </c>
      <c r="K18" s="60" t="e">
        <f>IF(O$22=100,(O18),IF(P$22=100,(P18),IF(Q$22=100,(Q18),IF(R$22=100,(R18),IF(S$22=100,(S18),IF(T$22=100,(T18),IF(U22=100,(U18),(U18))))))))</f>
        <v>#VALUE!</v>
      </c>
      <c r="L18" s="74"/>
      <c r="M18" s="74"/>
      <c r="N18" s="74"/>
      <c r="O18" s="60" t="e">
        <f t="shared" si="1"/>
        <v>#VALUE!</v>
      </c>
      <c r="P18" s="60" t="e">
        <f t="shared" si="9"/>
        <v>#VALUE!</v>
      </c>
      <c r="Q18" s="60" t="e">
        <f t="shared" si="10"/>
        <v>#VALUE!</v>
      </c>
      <c r="R18" s="60" t="e">
        <f t="shared" si="11"/>
        <v>#VALUE!</v>
      </c>
      <c r="S18" s="200" t="e">
        <f t="shared" si="12"/>
        <v>#VALUE!</v>
      </c>
      <c r="T18" s="200" t="e">
        <f t="shared" si="13"/>
        <v>#VALUE!</v>
      </c>
      <c r="U18" s="200" t="e">
        <f t="shared" si="14"/>
        <v>#VALUE!</v>
      </c>
      <c r="V18" s="194"/>
      <c r="W18" s="200">
        <f t="shared" si="15"/>
        <v>100</v>
      </c>
      <c r="X18" s="200" t="e">
        <f t="shared" si="2"/>
        <v>#VALUE!</v>
      </c>
      <c r="Y18" s="201">
        <f t="shared" si="16"/>
        <v>0</v>
      </c>
      <c r="Z18" s="218">
        <f t="shared" si="17"/>
        <v>0</v>
      </c>
      <c r="AA18" s="218">
        <f t="shared" si="18"/>
        <v>0</v>
      </c>
      <c r="AB18" s="219" t="str">
        <f t="shared" si="19"/>
        <v/>
      </c>
      <c r="AC18" s="220">
        <f t="shared" si="20"/>
        <v>0</v>
      </c>
      <c r="AD18" s="216">
        <f t="shared" si="3"/>
        <v>0</v>
      </c>
      <c r="AE18" s="217"/>
      <c r="AF18" s="217"/>
      <c r="AG18" s="217"/>
    </row>
    <row r="19" spans="1:33" x14ac:dyDescent="0.2">
      <c r="A19" s="62" t="str">
        <f>IF(L1="Metric","150um","#100")</f>
        <v>#100</v>
      </c>
      <c r="B19" s="73"/>
      <c r="C19" s="64"/>
      <c r="D19" s="65" t="str">
        <f t="shared" si="4"/>
        <v/>
      </c>
      <c r="E19" s="65" t="str">
        <f t="shared" si="5"/>
        <v/>
      </c>
      <c r="F19" s="62" t="str">
        <f t="shared" si="6"/>
        <v/>
      </c>
      <c r="G19" s="67" t="str">
        <f t="shared" si="7"/>
        <v/>
      </c>
      <c r="H19" s="68">
        <f t="shared" si="8"/>
        <v>0</v>
      </c>
      <c r="I19" s="69"/>
      <c r="J19" s="70" t="str">
        <f>IF(L6="","",35)</f>
        <v/>
      </c>
      <c r="K19" s="60" t="e">
        <f>IF(O$22=100,(O19),IF(P$22=100,(P19),IF(Q$22=100,(Q19),IF(R$22=100,(R19),IF(S$22=100,(S19),IF(T$22=100,(T19),IF(U22=100,(U19),(U19))))))))</f>
        <v>#VALUE!</v>
      </c>
      <c r="L19" s="74"/>
      <c r="M19" s="55"/>
      <c r="N19" s="74"/>
      <c r="O19" s="60" t="e">
        <f t="shared" si="1"/>
        <v>#VALUE!</v>
      </c>
      <c r="P19" s="60" t="e">
        <f t="shared" si="9"/>
        <v>#VALUE!</v>
      </c>
      <c r="Q19" s="60" t="e">
        <f t="shared" si="10"/>
        <v>#VALUE!</v>
      </c>
      <c r="R19" s="60" t="e">
        <f t="shared" si="11"/>
        <v>#VALUE!</v>
      </c>
      <c r="S19" s="200" t="e">
        <f t="shared" si="12"/>
        <v>#VALUE!</v>
      </c>
      <c r="T19" s="200" t="e">
        <f t="shared" si="13"/>
        <v>#VALUE!</v>
      </c>
      <c r="U19" s="200" t="e">
        <f t="shared" si="14"/>
        <v>#VALUE!</v>
      </c>
      <c r="V19" s="194"/>
      <c r="W19" s="200">
        <f t="shared" si="15"/>
        <v>100</v>
      </c>
      <c r="X19" s="200" t="e">
        <f t="shared" si="2"/>
        <v>#VALUE!</v>
      </c>
      <c r="Y19" s="201">
        <f t="shared" si="16"/>
        <v>0</v>
      </c>
      <c r="Z19" s="218">
        <f t="shared" si="17"/>
        <v>0</v>
      </c>
      <c r="AA19" s="218">
        <f t="shared" si="18"/>
        <v>0</v>
      </c>
      <c r="AB19" s="219" t="str">
        <f t="shared" si="19"/>
        <v/>
      </c>
      <c r="AC19" s="220">
        <f t="shared" si="20"/>
        <v>0</v>
      </c>
      <c r="AD19" s="216">
        <f t="shared" si="3"/>
        <v>0</v>
      </c>
      <c r="AE19" s="217"/>
      <c r="AF19" s="217"/>
      <c r="AG19" s="217"/>
    </row>
    <row r="20" spans="1:33" x14ac:dyDescent="0.2">
      <c r="A20" s="62" t="str">
        <f>IF(L1="Metric","75um","#200")</f>
        <v>#200</v>
      </c>
      <c r="B20" s="73"/>
      <c r="C20" s="64"/>
      <c r="D20" s="65" t="str">
        <f t="shared" si="4"/>
        <v/>
      </c>
      <c r="E20" s="65" t="str">
        <f t="shared" si="5"/>
        <v/>
      </c>
      <c r="F20" s="62" t="str">
        <f t="shared" si="6"/>
        <v/>
      </c>
      <c r="G20" s="67" t="str">
        <f t="shared" si="7"/>
        <v/>
      </c>
      <c r="H20" s="68">
        <f t="shared" si="8"/>
        <v>0</v>
      </c>
      <c r="I20" s="69"/>
      <c r="J20" s="70" t="str">
        <f>IF(L6="","",25)</f>
        <v/>
      </c>
      <c r="K20" s="60" t="e">
        <f>IF(O$22=100,(O20),IF(P$22=100,(P20),IF(Q$22=100,(Q20),IF(R$22=100,(R20),IF(S$22=100,(S20),IF(T$22=100,(T20),IF(U22=100,(U20),(U20))))))))</f>
        <v>#VALUE!</v>
      </c>
      <c r="L20" s="74"/>
      <c r="M20" s="74"/>
      <c r="N20" s="74"/>
      <c r="O20" s="60" t="e">
        <f t="shared" si="1"/>
        <v>#VALUE!</v>
      </c>
      <c r="P20" s="60" t="e">
        <f t="shared" si="9"/>
        <v>#VALUE!</v>
      </c>
      <c r="Q20" s="60" t="e">
        <f t="shared" si="10"/>
        <v>#VALUE!</v>
      </c>
      <c r="R20" s="60" t="e">
        <f t="shared" si="11"/>
        <v>#VALUE!</v>
      </c>
      <c r="S20" s="200" t="e">
        <f t="shared" si="12"/>
        <v>#VALUE!</v>
      </c>
      <c r="T20" s="200" t="e">
        <f t="shared" si="13"/>
        <v>#VALUE!</v>
      </c>
      <c r="U20" s="200" t="e">
        <f t="shared" si="14"/>
        <v>#VALUE!</v>
      </c>
      <c r="V20" s="194"/>
      <c r="W20" s="200">
        <f t="shared" si="15"/>
        <v>100</v>
      </c>
      <c r="X20" s="200" t="e">
        <f t="shared" si="2"/>
        <v>#VALUE!</v>
      </c>
      <c r="Y20" s="201">
        <f t="shared" si="16"/>
        <v>0</v>
      </c>
      <c r="Z20" s="218">
        <f t="shared" si="17"/>
        <v>0</v>
      </c>
      <c r="AA20" s="218">
        <f t="shared" si="18"/>
        <v>0</v>
      </c>
      <c r="AB20" s="219" t="str">
        <f t="shared" si="19"/>
        <v/>
      </c>
      <c r="AC20" s="220">
        <f t="shared" si="20"/>
        <v>0</v>
      </c>
      <c r="AD20" s="216">
        <f t="shared" si="3"/>
        <v>0</v>
      </c>
      <c r="AE20" s="217"/>
      <c r="AF20" s="217"/>
      <c r="AG20" s="217"/>
    </row>
    <row r="21" spans="1:33" x14ac:dyDescent="0.2">
      <c r="A21" s="62" t="s">
        <v>126</v>
      </c>
      <c r="B21" s="73"/>
      <c r="C21" s="64"/>
      <c r="D21" s="65" t="str">
        <f t="shared" si="4"/>
        <v/>
      </c>
      <c r="E21" s="75"/>
      <c r="F21" s="75"/>
      <c r="G21" s="76"/>
      <c r="H21" s="77"/>
      <c r="I21" s="77"/>
      <c r="J21" s="77"/>
      <c r="K21" s="203" t="e">
        <f>IF(O$22=100,(O21),IF(P$22=100,(P21),IF(Q$22=100,(Q21),IF(R$22=100,(R21),IF(S$22=100,(S21),IF(T$22=100,(T21),IF(U22=100,(U21),(U21))))))))</f>
        <v>#VALUE!</v>
      </c>
      <c r="L21" s="204"/>
      <c r="M21" s="74"/>
      <c r="N21" s="74"/>
      <c r="O21" s="60" t="e">
        <f>ROUND(IF(C21="","",SUM((C21+C22)/$C$2)*100),1)</f>
        <v>#VALUE!</v>
      </c>
      <c r="P21" s="60" t="e">
        <f t="shared" si="9"/>
        <v>#VALUE!</v>
      </c>
      <c r="Q21" s="60" t="e">
        <f t="shared" si="10"/>
        <v>#VALUE!</v>
      </c>
      <c r="R21" s="60" t="e">
        <f t="shared" si="11"/>
        <v>#VALUE!</v>
      </c>
      <c r="S21" s="200" t="e">
        <f t="shared" si="12"/>
        <v>#VALUE!</v>
      </c>
      <c r="T21" s="200" t="e">
        <f t="shared" si="13"/>
        <v>#VALUE!</v>
      </c>
      <c r="U21" s="200" t="e">
        <f t="shared" si="14"/>
        <v>#VALUE!</v>
      </c>
      <c r="V21" s="194"/>
      <c r="W21" s="193"/>
      <c r="X21" s="193"/>
      <c r="Y21" s="193"/>
      <c r="Z21" s="216"/>
      <c r="AA21" s="216"/>
      <c r="AB21" s="216"/>
      <c r="AC21" s="216"/>
      <c r="AD21" s="216"/>
      <c r="AE21" s="217"/>
      <c r="AF21" s="217"/>
      <c r="AG21" s="217"/>
    </row>
    <row r="22" spans="1:33" x14ac:dyDescent="0.2">
      <c r="A22" s="62" t="s">
        <v>127</v>
      </c>
      <c r="B22" s="63"/>
      <c r="C22" s="65" t="str">
        <f>IF(C3="","",SUM(C2-C3))</f>
        <v/>
      </c>
      <c r="D22" s="80"/>
      <c r="E22" s="75"/>
      <c r="F22" s="81"/>
      <c r="G22" s="81"/>
      <c r="H22" s="81"/>
      <c r="I22" s="81"/>
      <c r="J22" s="81"/>
      <c r="K22" s="203" t="e">
        <f>SUM(K9:K21)</f>
        <v>#VALUE!</v>
      </c>
      <c r="L22" s="85"/>
      <c r="M22" s="55"/>
      <c r="N22" s="55"/>
      <c r="O22" s="60" t="e">
        <f>ROUND(SUM(O9:O21),1)</f>
        <v>#VALUE!</v>
      </c>
      <c r="P22" s="60" t="e">
        <f t="shared" ref="P22:U22" si="21">ROUND(IF(P21="","",SUM(P10:P21)),1)</f>
        <v>#VALUE!</v>
      </c>
      <c r="Q22" s="60" t="e">
        <f t="shared" si="21"/>
        <v>#VALUE!</v>
      </c>
      <c r="R22" s="60" t="e">
        <f t="shared" si="21"/>
        <v>#VALUE!</v>
      </c>
      <c r="S22" s="200" t="e">
        <f t="shared" si="21"/>
        <v>#VALUE!</v>
      </c>
      <c r="T22" s="200" t="e">
        <f t="shared" si="21"/>
        <v>#VALUE!</v>
      </c>
      <c r="U22" s="200" t="e">
        <f t="shared" si="21"/>
        <v>#VALUE!</v>
      </c>
      <c r="V22" s="193"/>
      <c r="W22" s="193"/>
      <c r="X22" s="193"/>
      <c r="Y22" s="193"/>
      <c r="Z22" s="216"/>
      <c r="AA22" s="216"/>
      <c r="AB22" s="216"/>
      <c r="AC22" s="216"/>
      <c r="AD22" s="216"/>
      <c r="AE22" s="217"/>
      <c r="AF22" s="217"/>
      <c r="AG22" s="217"/>
    </row>
    <row r="23" spans="1:33" x14ac:dyDescent="0.2">
      <c r="A23" s="62" t="s">
        <v>128</v>
      </c>
      <c r="B23" s="83" t="str">
        <f>IF(B21="","",SUM(B15:B21))</f>
        <v/>
      </c>
      <c r="C23" s="83" t="str">
        <f>IF(C21="","",SUM(C9:C22))</f>
        <v/>
      </c>
      <c r="D23" s="65" t="str">
        <f>IF(D21="","",SUM(D9:D21))</f>
        <v/>
      </c>
      <c r="E23" s="84"/>
      <c r="F23" s="81"/>
      <c r="G23" s="81"/>
      <c r="H23" s="81"/>
      <c r="I23" s="81"/>
      <c r="J23" s="81"/>
      <c r="K23" s="85"/>
      <c r="L23" s="85"/>
      <c r="M23" s="55"/>
      <c r="N23" s="55"/>
      <c r="O23" s="55"/>
      <c r="P23" s="55"/>
      <c r="Q23" s="55"/>
      <c r="R23" s="55"/>
      <c r="S23" s="193"/>
      <c r="T23" s="193"/>
      <c r="U23" s="193"/>
      <c r="V23" s="193"/>
      <c r="W23" s="194"/>
      <c r="X23" s="194"/>
      <c r="Y23" s="194"/>
      <c r="Z23" s="220"/>
      <c r="AA23" s="220"/>
      <c r="AB23" s="216"/>
      <c r="AC23" s="216"/>
      <c r="AD23" s="216"/>
      <c r="AE23" s="217"/>
      <c r="AF23" s="217"/>
      <c r="AG23" s="217"/>
    </row>
    <row r="24" spans="1:33" x14ac:dyDescent="0.2">
      <c r="A24" s="62" t="s">
        <v>129</v>
      </c>
      <c r="B24" s="65" t="str">
        <f>IF(B23="","",ROUND(SUM(B23/C5)*100,1))</f>
        <v/>
      </c>
      <c r="C24" s="65" t="str">
        <f>IF(C23="","",ROUND(SUM(C23/C2)*100,1))</f>
        <v/>
      </c>
      <c r="D24" s="34"/>
      <c r="E24" s="81"/>
      <c r="F24" s="81"/>
      <c r="G24" s="81"/>
      <c r="H24" s="81"/>
      <c r="I24" s="81"/>
      <c r="J24" s="81"/>
      <c r="K24" s="85"/>
      <c r="L24" s="85"/>
      <c r="M24" s="55"/>
      <c r="N24" s="55"/>
      <c r="O24" s="55"/>
      <c r="P24" s="55"/>
      <c r="Q24" s="55"/>
      <c r="R24" s="55"/>
      <c r="S24" s="193"/>
      <c r="T24" s="193"/>
      <c r="U24" s="193"/>
      <c r="V24" s="193"/>
      <c r="W24" s="200"/>
      <c r="X24" s="200"/>
      <c r="Y24" s="200"/>
      <c r="Z24" s="218"/>
      <c r="AA24" s="218"/>
      <c r="AB24" s="216"/>
      <c r="AC24" s="216"/>
      <c r="AD24" s="216"/>
      <c r="AE24" s="217"/>
      <c r="AF24" s="217"/>
      <c r="AG24" s="217"/>
    </row>
    <row r="25" spans="1:33" x14ac:dyDescent="0.2">
      <c r="A25" s="86"/>
      <c r="B25" s="86"/>
      <c r="C25" s="87"/>
      <c r="D25" s="34"/>
      <c r="E25" s="75"/>
      <c r="F25" s="81"/>
      <c r="G25" s="81"/>
      <c r="H25" s="81"/>
      <c r="I25" s="81"/>
      <c r="J25" s="81"/>
      <c r="K25" s="221"/>
      <c r="L25" s="221"/>
      <c r="M25" s="55"/>
      <c r="N25" s="55"/>
      <c r="O25" s="55"/>
      <c r="P25" s="55"/>
      <c r="Q25" s="55"/>
      <c r="R25" s="55"/>
      <c r="S25" s="193"/>
      <c r="T25" s="193"/>
      <c r="U25" s="193"/>
      <c r="V25" s="193"/>
      <c r="W25" s="193"/>
      <c r="X25" s="193"/>
      <c r="Y25" s="193"/>
      <c r="Z25" s="216"/>
      <c r="AA25" s="216"/>
      <c r="AB25" s="216"/>
      <c r="AC25" s="216"/>
      <c r="AD25" s="216"/>
      <c r="AE25" s="217"/>
      <c r="AF25" s="217"/>
      <c r="AG25" s="217"/>
    </row>
    <row r="26" spans="1:33" hidden="1" x14ac:dyDescent="0.2">
      <c r="A26" s="89"/>
      <c r="B26" s="90"/>
      <c r="C26" s="86"/>
      <c r="D26" s="91"/>
      <c r="E26" s="92"/>
      <c r="F26" s="93"/>
      <c r="G26" s="93"/>
      <c r="H26" s="94"/>
      <c r="I26" s="95"/>
      <c r="J26" s="95"/>
      <c r="K26" s="89"/>
      <c r="L26" s="89"/>
      <c r="M26" s="205"/>
      <c r="N26" s="205"/>
      <c r="O26" s="206"/>
      <c r="P26" s="206"/>
      <c r="T26" s="208"/>
      <c r="U26" s="208"/>
      <c r="V26" s="208"/>
      <c r="W26" s="208"/>
      <c r="Z26" s="222"/>
      <c r="AA26" s="222"/>
      <c r="AB26" s="222"/>
      <c r="AC26" s="222"/>
      <c r="AD26" s="222"/>
      <c r="AE26" s="217"/>
      <c r="AF26" s="217"/>
      <c r="AG26" s="217"/>
    </row>
    <row r="27" spans="1:33" hidden="1" x14ac:dyDescent="0.2">
      <c r="A27" s="89"/>
      <c r="B27" s="90"/>
      <c r="C27" s="86"/>
      <c r="D27" s="91"/>
      <c r="E27" s="92"/>
      <c r="F27" s="93"/>
      <c r="G27" s="93"/>
      <c r="H27" s="94"/>
      <c r="I27" s="95"/>
      <c r="J27" s="95"/>
      <c r="K27" s="89"/>
      <c r="L27" s="89"/>
      <c r="M27" s="205"/>
      <c r="N27" s="205"/>
      <c r="O27" s="206"/>
      <c r="P27" s="206"/>
      <c r="T27" s="208"/>
      <c r="U27" s="208"/>
      <c r="V27" s="208"/>
      <c r="W27" s="208"/>
      <c r="Z27" s="222"/>
      <c r="AA27" s="222"/>
      <c r="AB27" s="222"/>
      <c r="AC27" s="222"/>
      <c r="AD27" s="222"/>
      <c r="AE27" s="217"/>
      <c r="AF27" s="217"/>
      <c r="AG27" s="217"/>
    </row>
    <row r="28" spans="1:33" hidden="1" x14ac:dyDescent="0.2">
      <c r="A28" s="89"/>
      <c r="B28" s="90"/>
      <c r="C28" s="86"/>
      <c r="D28" s="91"/>
      <c r="E28" s="92"/>
      <c r="F28" s="93"/>
      <c r="G28" s="93"/>
      <c r="H28" s="94"/>
      <c r="I28" s="95"/>
      <c r="J28" s="95"/>
      <c r="K28" s="89"/>
      <c r="L28" s="89"/>
      <c r="M28" s="205"/>
      <c r="N28" s="205"/>
      <c r="O28" s="206"/>
      <c r="P28" s="209"/>
      <c r="Q28" s="210" t="e">
        <f>IF(Q$56=100,(Q44),IF(R$56=100,(R44),IF(S$56=100,(S44),IF(T$56=100,(T44),IF(U$56=100,(U44),IF(V$56=100,(V44),IF(W56=100,(W44),(W44))))))))</f>
        <v>#VALUE!</v>
      </c>
      <c r="R28" s="210" t="s">
        <v>124</v>
      </c>
      <c r="T28" s="208"/>
      <c r="U28" s="208"/>
      <c r="V28" s="208"/>
      <c r="W28" s="208"/>
      <c r="Z28" s="222"/>
      <c r="AA28" s="222"/>
      <c r="AB28" s="222"/>
      <c r="AC28" s="222"/>
      <c r="AD28" s="222"/>
      <c r="AE28" s="217"/>
      <c r="AF28" s="217"/>
      <c r="AG28" s="217"/>
    </row>
    <row r="29" spans="1:33" hidden="1" x14ac:dyDescent="0.2">
      <c r="A29" s="89"/>
      <c r="B29" s="90"/>
      <c r="C29" s="86"/>
      <c r="D29" s="91"/>
      <c r="E29" s="92"/>
      <c r="F29" s="93"/>
      <c r="G29" s="93"/>
      <c r="H29" s="94"/>
      <c r="I29" s="95"/>
      <c r="J29" s="95"/>
      <c r="K29" s="89"/>
      <c r="L29" s="89"/>
      <c r="M29" s="205"/>
      <c r="N29" s="205"/>
      <c r="O29" s="206"/>
      <c r="P29" s="209"/>
      <c r="Q29" s="210" t="e">
        <f>IF(Q$56=100,(Q45),IF(R$56=100,(R45),IF(S$56=100,(S45),IF(T$56=100,(T45),IF(U$56=100,(U45),IF(V$56=100,(V45),IF(W56=100,(W45),(W45))))))))</f>
        <v>#VALUE!</v>
      </c>
      <c r="R29" s="210" t="s">
        <v>125</v>
      </c>
      <c r="T29" s="208"/>
      <c r="U29" s="208"/>
      <c r="V29" s="208"/>
      <c r="W29" s="208"/>
      <c r="Z29" s="222"/>
      <c r="AA29" s="222"/>
      <c r="AB29" s="222"/>
      <c r="AC29" s="222"/>
      <c r="AD29" s="222"/>
      <c r="AE29" s="217"/>
      <c r="AF29" s="217"/>
      <c r="AG29" s="217"/>
    </row>
    <row r="30" spans="1:33" hidden="1" x14ac:dyDescent="0.2">
      <c r="A30" s="89"/>
      <c r="B30" s="90"/>
      <c r="C30" s="86"/>
      <c r="D30" s="91"/>
      <c r="E30" s="92"/>
      <c r="F30" s="93"/>
      <c r="G30" s="93"/>
      <c r="H30" s="94"/>
      <c r="I30" s="95"/>
      <c r="J30" s="95"/>
      <c r="K30" s="89"/>
      <c r="L30" s="89"/>
      <c r="M30" s="205"/>
      <c r="N30" s="205"/>
      <c r="O30" s="206"/>
      <c r="P30" s="209"/>
      <c r="Q30" s="210" t="e">
        <f>IF(Q$56=100,(Q46),IF(R$56=100,(R46),IF(S$56=100,(S46),IF(T$56=100,(T46),IF(U$56=100,(U46),IF(V$56=100,(V46),IF(W56=100,(W46),(W46))))))))</f>
        <v>#VALUE!</v>
      </c>
      <c r="R30" s="210" t="e">
        <f>LARGE(Q$43:Q$55,1)</f>
        <v>#VALUE!</v>
      </c>
      <c r="S30" s="210" t="e">
        <f>IF(Q56&lt;100,(R30+0.1),IF(Q56&gt;100,(R30-0.1),R30))</f>
        <v>#VALUE!</v>
      </c>
      <c r="T30" s="208"/>
      <c r="U30" s="208"/>
      <c r="V30" s="208"/>
      <c r="W30" s="208"/>
      <c r="Z30" s="222"/>
      <c r="AA30" s="222"/>
      <c r="AB30" s="222"/>
      <c r="AC30" s="222"/>
      <c r="AD30" s="222"/>
      <c r="AE30" s="217"/>
      <c r="AF30" s="217"/>
      <c r="AG30" s="217"/>
    </row>
    <row r="31" spans="1:33" hidden="1" x14ac:dyDescent="0.2">
      <c r="A31" s="89"/>
      <c r="B31" s="330"/>
      <c r="C31" s="331"/>
      <c r="D31" s="91"/>
      <c r="E31" s="92"/>
      <c r="F31" s="93"/>
      <c r="G31" s="75"/>
      <c r="H31" s="75"/>
      <c r="I31" s="76"/>
      <c r="J31" s="76"/>
      <c r="K31" s="89"/>
      <c r="L31" s="89"/>
      <c r="M31" s="205"/>
      <c r="N31" s="205"/>
      <c r="O31" s="206"/>
      <c r="P31" s="209"/>
      <c r="Q31" s="210" t="e">
        <f>IF(Q$56=100,(Q47),IF(R$56=100,(R47),IF(S$56=100,(S47),IF(T$56=100,(T47),IF(U$56=100,(U47),IF(V$56=100,(V47),IF(W56=100,(W47),(W47))))))))</f>
        <v>#VALUE!</v>
      </c>
      <c r="R31" s="210" t="e">
        <f>LARGE(Q$43:Q$55,2)</f>
        <v>#VALUE!</v>
      </c>
      <c r="S31" s="210" t="e">
        <f>IF(R56&lt;100,(R31+0.1),IF(R56&gt;100,(R31-0.1),R31))</f>
        <v>#VALUE!</v>
      </c>
      <c r="T31" s="208"/>
      <c r="U31" s="208"/>
      <c r="V31" s="208"/>
      <c r="W31" s="208"/>
      <c r="Z31" s="222"/>
      <c r="AA31" s="222"/>
      <c r="AB31" s="222"/>
      <c r="AC31" s="222"/>
      <c r="AD31" s="222"/>
      <c r="AE31" s="217"/>
      <c r="AF31" s="217"/>
      <c r="AG31" s="217"/>
    </row>
    <row r="32" spans="1:33" hidden="1" x14ac:dyDescent="0.2">
      <c r="A32" s="89"/>
      <c r="B32" s="330"/>
      <c r="C32" s="331"/>
      <c r="D32" s="86"/>
      <c r="E32" s="93"/>
      <c r="F32" s="101"/>
      <c r="G32" s="75"/>
      <c r="H32" s="81"/>
      <c r="I32" s="81"/>
      <c r="J32" s="81"/>
      <c r="K32" s="89"/>
      <c r="L32" s="89"/>
      <c r="M32" s="205"/>
      <c r="N32" s="205"/>
      <c r="O32" s="206"/>
      <c r="P32" s="206"/>
      <c r="Q32" s="210" t="e">
        <f>IF(Q$56=100,(Q48),IF(R$56=100,(R48),IF(S$56=100,(S48),IF(T$56=100,(T48),IF(U$56=100,(U48),IF(V$56=100,(V48),IF(W56=100,(W48),(W48))))))))</f>
        <v>#VALUE!</v>
      </c>
      <c r="R32" s="210" t="e">
        <f>LARGE(Q$43:Q$55,3)</f>
        <v>#VALUE!</v>
      </c>
      <c r="S32" s="210" t="e">
        <f>IF(S56&lt;100,(R32+0.1),IF(S56&gt;100,(R32-0.1),R32))</f>
        <v>#VALUE!</v>
      </c>
      <c r="T32" s="208"/>
      <c r="U32" s="208"/>
      <c r="V32" s="208"/>
      <c r="W32" s="208"/>
      <c r="Z32" s="222"/>
      <c r="AA32" s="222"/>
      <c r="AB32" s="222"/>
      <c r="AC32" s="222"/>
      <c r="AD32" s="222"/>
      <c r="AE32" s="217"/>
      <c r="AF32" s="217"/>
      <c r="AG32" s="217"/>
    </row>
    <row r="33" spans="1:33" hidden="1" x14ac:dyDescent="0.2">
      <c r="A33" s="89"/>
      <c r="B33" s="89"/>
      <c r="C33" s="89"/>
      <c r="D33" s="89"/>
      <c r="E33" s="102"/>
      <c r="F33" s="102"/>
      <c r="G33" s="102"/>
      <c r="H33" s="102"/>
      <c r="I33" s="102"/>
      <c r="J33" s="102"/>
      <c r="K33" s="89"/>
      <c r="L33" s="89"/>
      <c r="M33" s="205"/>
      <c r="N33" s="205"/>
      <c r="O33" s="206"/>
      <c r="P33" s="206"/>
      <c r="Q33" s="210" t="e">
        <f>IF(Q$56=100,(Q49),IF(R$56=100,(R49),IF(S$56=100,(S49),IF(T$56=100,(T49),IF(U$56=100,(U49),IF(V$56=100,(V49),IF(W56=100,(W49),(W49))))))))</f>
        <v>#VALUE!</v>
      </c>
      <c r="R33" s="210" t="e">
        <f>LARGE(Q$43:Q$55,4)</f>
        <v>#VALUE!</v>
      </c>
      <c r="S33" s="210" t="e">
        <f>IF(T56&lt;100,(R33+0.1),IF(T56&gt;100,(R33-0.1),R33))</f>
        <v>#VALUE!</v>
      </c>
      <c r="T33" s="208"/>
      <c r="U33" s="208"/>
      <c r="V33" s="208"/>
      <c r="W33" s="208"/>
      <c r="Z33" s="222"/>
      <c r="AA33" s="222"/>
      <c r="AB33" s="222"/>
      <c r="AC33" s="222"/>
      <c r="AD33" s="222"/>
      <c r="AE33" s="217"/>
      <c r="AF33" s="217"/>
      <c r="AG33" s="217"/>
    </row>
    <row r="34" spans="1:33" hidden="1" x14ac:dyDescent="0.2">
      <c r="A34" s="89"/>
      <c r="B34" s="89"/>
      <c r="C34" s="89"/>
      <c r="D34" s="89"/>
      <c r="E34" s="102"/>
      <c r="F34" s="102"/>
      <c r="G34" s="102"/>
      <c r="H34" s="102"/>
      <c r="I34" s="102"/>
      <c r="J34" s="102"/>
      <c r="K34" s="89"/>
      <c r="L34" s="89"/>
      <c r="M34" s="205"/>
      <c r="N34" s="205"/>
      <c r="O34" s="206"/>
      <c r="P34" s="206"/>
      <c r="Q34" s="210" t="e">
        <f>IF(Q$56=100,(Q50),IF(R$56=100,(R50),IF(S$56=100,(S50),IF(T$56=100,(T50),IF(U$56=100,(U50),IF(V$56=100,(V50),IF(W56=100,(W50),(W50))))))))</f>
        <v>#VALUE!</v>
      </c>
      <c r="R34" s="210" t="e">
        <f>LARGE(Q$43:Q$55,5)</f>
        <v>#VALUE!</v>
      </c>
      <c r="S34" s="210" t="e">
        <f>IF(U56&lt;100,(R34+0.1),IF(U56&gt;100,(R34-0.1),R34))</f>
        <v>#VALUE!</v>
      </c>
      <c r="Z34" s="222"/>
      <c r="AA34" s="222"/>
      <c r="AB34" s="222"/>
      <c r="AC34" s="222"/>
      <c r="AD34" s="222"/>
      <c r="AE34" s="217"/>
      <c r="AF34" s="217"/>
      <c r="AG34" s="217"/>
    </row>
    <row r="35" spans="1:33" ht="15.75" hidden="1" thickBot="1" x14ac:dyDescent="0.25">
      <c r="A35" s="89"/>
      <c r="B35" s="103" t="s">
        <v>80</v>
      </c>
      <c r="C35" s="104"/>
      <c r="D35" s="104"/>
      <c r="E35" s="105"/>
      <c r="F35" s="106" t="s">
        <v>81</v>
      </c>
      <c r="G35" s="107"/>
      <c r="H35" s="108" t="s">
        <v>82</v>
      </c>
      <c r="I35" s="109"/>
      <c r="J35" s="110"/>
      <c r="K35" s="34"/>
      <c r="L35" s="34"/>
      <c r="M35" s="211"/>
      <c r="N35" s="205"/>
      <c r="O35" s="206"/>
      <c r="P35" s="206"/>
      <c r="Q35" s="210" t="e">
        <f>IF(Q$56=100,(Q51),IF(R$56=100,(R51),IF(S$56=100,(S51),IF(T$56=100,(T51),IF(U$56=100,(U51),IF(V$56=100,(V51),IF(W56=100,(W51),(W51))))))))</f>
        <v>#VALUE!</v>
      </c>
      <c r="R35" s="210" t="e">
        <f>LARGE(Q$43:Q$55,6)</f>
        <v>#VALUE!</v>
      </c>
      <c r="S35" s="210" t="e">
        <f>IF(V56&lt;100,(R35+0.1),IF(V56&gt;100,(R35-0.1),R35))</f>
        <v>#VALUE!</v>
      </c>
      <c r="Z35" s="222"/>
      <c r="AA35" s="222"/>
      <c r="AB35" s="222"/>
      <c r="AC35" s="222"/>
      <c r="AD35" s="222"/>
      <c r="AE35" s="217"/>
      <c r="AF35" s="217"/>
      <c r="AG35" s="217"/>
    </row>
    <row r="36" spans="1:33" hidden="1" x14ac:dyDescent="0.2">
      <c r="A36" s="89"/>
      <c r="B36" s="112"/>
      <c r="C36" s="113"/>
      <c r="D36" s="114" t="s">
        <v>90</v>
      </c>
      <c r="E36" s="115"/>
      <c r="F36" s="116"/>
      <c r="G36" s="117"/>
      <c r="H36" s="117"/>
      <c r="I36" s="101"/>
      <c r="J36" s="101"/>
      <c r="K36" s="31"/>
      <c r="L36" s="31"/>
      <c r="M36" s="205"/>
      <c r="N36" s="205"/>
      <c r="O36" s="206"/>
      <c r="P36" s="206"/>
      <c r="Q36" s="210" t="e">
        <f>IF(Q$56=100,(Q52),IF(R$56=100,(R52),IF(S$56=100,(S52),IF(T$56=100,(T52),IF(U$56=100,(U52),IF(V$56=100,(V52),IF(W56=100,(W52),(W52))))))))</f>
        <v>#VALUE!</v>
      </c>
      <c r="R36" s="208"/>
      <c r="S36" s="208"/>
      <c r="U36" s="208"/>
      <c r="V36" s="208"/>
      <c r="W36" s="208"/>
      <c r="Z36" s="222"/>
      <c r="AA36" s="222"/>
      <c r="AB36" s="222"/>
      <c r="AC36" s="222"/>
      <c r="AD36" s="222"/>
      <c r="AE36" s="217"/>
      <c r="AF36" s="217"/>
      <c r="AG36" s="217"/>
    </row>
    <row r="37" spans="1:33" ht="15.75" hidden="1" thickBot="1" x14ac:dyDescent="0.25">
      <c r="A37" s="89"/>
      <c r="B37" s="112"/>
      <c r="C37" s="113"/>
      <c r="D37" s="114" t="s">
        <v>93</v>
      </c>
      <c r="E37" s="119"/>
      <c r="F37" s="116"/>
      <c r="G37" s="120"/>
      <c r="H37" s="116" t="s">
        <v>130</v>
      </c>
      <c r="I37" s="101"/>
      <c r="J37" s="101"/>
      <c r="K37" s="31"/>
      <c r="L37" s="31"/>
      <c r="M37" s="205"/>
      <c r="N37" s="205"/>
      <c r="O37" s="206"/>
      <c r="P37" s="206"/>
      <c r="Q37" s="210" t="e">
        <f>IF(Q$56=100,(Q53),IF(R$56=100,(R53),IF(S$56=100,(S53),IF(T$56=100,(T53),IF(U$56=100,(U53),IF(V$56=100,(V53),IF(W56=100,(W53),(W53))))))))</f>
        <v>#VALUE!</v>
      </c>
      <c r="R37" s="208"/>
      <c r="U37" s="208"/>
      <c r="V37" s="208"/>
      <c r="W37" s="208"/>
      <c r="Z37" s="222"/>
      <c r="AA37" s="222"/>
      <c r="AB37" s="222"/>
      <c r="AC37" s="222"/>
      <c r="AD37" s="222"/>
      <c r="AE37" s="217"/>
      <c r="AF37" s="217"/>
      <c r="AG37" s="217"/>
    </row>
    <row r="38" spans="1:33" hidden="1" x14ac:dyDescent="0.2">
      <c r="A38" s="89"/>
      <c r="B38" s="112"/>
      <c r="C38" s="113"/>
      <c r="D38" s="114" t="s">
        <v>131</v>
      </c>
      <c r="E38" s="121"/>
      <c r="F38" s="116"/>
      <c r="G38" s="116"/>
      <c r="H38" s="116" t="s">
        <v>132</v>
      </c>
      <c r="I38" s="101"/>
      <c r="J38" s="101"/>
      <c r="K38" s="31"/>
      <c r="L38" s="31"/>
      <c r="M38" s="205"/>
      <c r="N38" s="205"/>
      <c r="O38" s="206"/>
      <c r="P38" s="206"/>
      <c r="Q38" s="210" t="e">
        <f>IF(Q$56=100,(Q54),IF(R$56=100,(R54),IF(S$56=100,(S54),IF(T$56=100,(T54),IF(U$56=100,(U54),IF(V$56=100,(V54),IF(W56=100,(W54),(W54))))))))</f>
        <v>#VALUE!</v>
      </c>
      <c r="R38" s="208"/>
      <c r="S38" s="208"/>
      <c r="U38" s="208"/>
      <c r="V38" s="208"/>
      <c r="W38" s="208"/>
      <c r="Z38" s="222"/>
      <c r="AA38" s="222"/>
      <c r="AB38" s="222"/>
      <c r="AC38" s="222"/>
      <c r="AD38" s="222"/>
      <c r="AE38" s="217"/>
      <c r="AF38" s="217"/>
      <c r="AG38" s="217"/>
    </row>
    <row r="39" spans="1:33" hidden="1" x14ac:dyDescent="0.2">
      <c r="A39" s="89"/>
      <c r="B39" s="112"/>
      <c r="C39" s="122"/>
      <c r="D39" s="114" t="s">
        <v>133</v>
      </c>
      <c r="E39" s="121"/>
      <c r="F39" s="116"/>
      <c r="G39" s="117"/>
      <c r="H39" s="117"/>
      <c r="I39" s="101"/>
      <c r="J39" s="101"/>
      <c r="K39" s="31"/>
      <c r="L39" s="31"/>
      <c r="M39" s="205"/>
      <c r="N39" s="205"/>
      <c r="O39" s="206"/>
      <c r="P39" s="206"/>
      <c r="Q39" s="210" t="e">
        <f>IF(Q$56=100,(Q55),IF(R$56=100,(R55),IF(S$56=100,(S55),IF(T$56=100,(T55),IF(U$56=100,(U55),IF(V$56=100,(V55),IF(W56=100,(W55),(W55))))))))</f>
        <v>#VALUE!</v>
      </c>
      <c r="R39" s="208"/>
      <c r="S39" s="208"/>
      <c r="U39" s="208"/>
      <c r="V39" s="208"/>
      <c r="W39" s="208"/>
      <c r="Z39" s="222"/>
      <c r="AA39" s="222"/>
      <c r="AB39" s="222"/>
      <c r="AC39" s="222"/>
      <c r="AD39" s="222"/>
      <c r="AE39" s="217"/>
      <c r="AF39" s="217"/>
      <c r="AG39" s="217"/>
    </row>
    <row r="40" spans="1:33" hidden="1" x14ac:dyDescent="0.2">
      <c r="A40" s="89"/>
      <c r="B40" s="123"/>
      <c r="C40" s="124" t="s">
        <v>99</v>
      </c>
      <c r="D40" s="125"/>
      <c r="E40" s="126" t="str">
        <f>IF(E39="","",ROUND(SUM(E38/E39),4))</f>
        <v/>
      </c>
      <c r="F40" s="116"/>
      <c r="G40" s="116"/>
      <c r="H40" s="116"/>
      <c r="I40" s="116"/>
      <c r="J40" s="116"/>
      <c r="K40" s="31"/>
      <c r="L40" s="31"/>
      <c r="M40" s="212"/>
      <c r="N40" s="212"/>
      <c r="O40" s="209"/>
      <c r="P40" s="209"/>
      <c r="Q40" s="210" t="e">
        <f>SUM(Q26:Q39)</f>
        <v>#VALUE!</v>
      </c>
      <c r="T40" s="208"/>
      <c r="U40" s="208"/>
      <c r="V40" s="208"/>
      <c r="W40" s="208"/>
      <c r="Z40" s="222"/>
      <c r="AA40" s="222"/>
      <c r="AB40" s="222"/>
      <c r="AC40" s="222"/>
      <c r="AD40" s="222"/>
      <c r="AE40" s="217"/>
      <c r="AF40" s="217"/>
      <c r="AG40" s="217"/>
    </row>
    <row r="41" spans="1:33" hidden="1" x14ac:dyDescent="0.2">
      <c r="A41" s="89"/>
      <c r="B41" s="332"/>
      <c r="C41" s="333"/>
      <c r="D41" s="127" t="s">
        <v>101</v>
      </c>
      <c r="E41" s="128" t="s">
        <v>102</v>
      </c>
      <c r="F41" s="129" t="s">
        <v>57</v>
      </c>
      <c r="G41" s="129" t="s">
        <v>57</v>
      </c>
      <c r="H41" s="130" t="s">
        <v>103</v>
      </c>
      <c r="I41" s="131"/>
      <c r="J41" s="131"/>
      <c r="K41" s="34"/>
      <c r="L41" s="34"/>
      <c r="M41" s="205"/>
      <c r="N41" s="205"/>
      <c r="O41" s="206"/>
      <c r="P41" s="206"/>
      <c r="Q41" s="210" t="s">
        <v>57</v>
      </c>
      <c r="Z41" s="222"/>
      <c r="AA41" s="222"/>
      <c r="AB41" s="222"/>
      <c r="AC41" s="222"/>
      <c r="AD41" s="222"/>
      <c r="AE41" s="217"/>
      <c r="AF41" s="217"/>
      <c r="AG41" s="217"/>
    </row>
    <row r="42" spans="1:33" hidden="1" x14ac:dyDescent="0.2">
      <c r="A42" s="89"/>
      <c r="B42" s="334" t="s">
        <v>110</v>
      </c>
      <c r="C42" s="335"/>
      <c r="D42" s="132" t="s">
        <v>134</v>
      </c>
      <c r="E42" s="133" t="s">
        <v>111</v>
      </c>
      <c r="F42" s="133" t="s">
        <v>112</v>
      </c>
      <c r="G42" s="133" t="s">
        <v>113</v>
      </c>
      <c r="H42" s="134" t="s">
        <v>114</v>
      </c>
      <c r="I42" s="131"/>
      <c r="J42" s="131"/>
      <c r="K42" s="89"/>
      <c r="L42" s="89"/>
      <c r="M42" s="205"/>
      <c r="N42" s="205"/>
      <c r="O42" s="206"/>
      <c r="P42" s="206"/>
      <c r="Q42" s="210" t="s">
        <v>112</v>
      </c>
      <c r="Z42" s="222"/>
      <c r="AA42" s="222"/>
      <c r="AB42" s="222"/>
      <c r="AC42" s="222"/>
      <c r="AD42" s="222"/>
      <c r="AE42" s="217"/>
      <c r="AF42" s="217"/>
      <c r="AG42" s="217"/>
    </row>
    <row r="43" spans="1:33" hidden="1" x14ac:dyDescent="0.2">
      <c r="A43" s="89"/>
      <c r="B43" s="135" t="s">
        <v>29</v>
      </c>
      <c r="C43" s="136" t="s">
        <v>135</v>
      </c>
      <c r="D43" s="137"/>
      <c r="E43" s="138"/>
      <c r="F43" s="139" t="str">
        <f>IF(E43="","",(Q43))</f>
        <v/>
      </c>
      <c r="G43" s="140" t="str">
        <f>IF(F57="","",100)</f>
        <v/>
      </c>
      <c r="H43" s="141" t="str">
        <f>IF(G43="","",IF(G43&gt;=10,ROUND(G43,0),ROUND(G43,1)))</f>
        <v/>
      </c>
      <c r="I43" s="95"/>
      <c r="J43" s="95"/>
      <c r="K43" s="89"/>
      <c r="L43" s="89"/>
      <c r="M43" s="205"/>
      <c r="N43" s="205"/>
      <c r="O43" s="206"/>
      <c r="P43" s="206"/>
      <c r="Q43" s="210" t="e">
        <f t="shared" ref="Q43:Q54" si="22">ROUND(IF(E43="","",SUM(E43/$E$36)*100),1)</f>
        <v>#VALUE!</v>
      </c>
      <c r="R43" s="210" t="s">
        <v>120</v>
      </c>
      <c r="S43" s="210">
        <v>2</v>
      </c>
      <c r="T43" s="210" t="s">
        <v>121</v>
      </c>
      <c r="U43" s="210" t="s">
        <v>122</v>
      </c>
      <c r="V43" s="210" t="s">
        <v>123</v>
      </c>
      <c r="W43" s="210">
        <v>6</v>
      </c>
      <c r="Z43" s="222"/>
      <c r="AA43" s="222"/>
      <c r="AB43" s="222"/>
      <c r="AC43" s="222"/>
      <c r="AD43" s="222"/>
      <c r="AE43" s="217"/>
      <c r="AF43" s="217"/>
      <c r="AG43" s="217"/>
    </row>
    <row r="44" spans="1:33" hidden="1" x14ac:dyDescent="0.2">
      <c r="A44" s="89"/>
      <c r="B44" s="135" t="s">
        <v>136</v>
      </c>
      <c r="C44" s="136" t="s">
        <v>137</v>
      </c>
      <c r="D44" s="137"/>
      <c r="E44" s="138"/>
      <c r="F44" s="139" t="str">
        <f>IF(E44="","",(Q28))</f>
        <v/>
      </c>
      <c r="G44" s="139" t="str">
        <f>IF(G43="","",SUM(G43-F44))</f>
        <v/>
      </c>
      <c r="H44" s="141" t="str">
        <f t="shared" ref="H44:H54" si="23">IF(G44="","",IF(G44&gt;=10,ROUND(G44,0),ROUND(G44,1)))</f>
        <v/>
      </c>
      <c r="I44" s="95"/>
      <c r="J44" s="95"/>
      <c r="K44" s="89"/>
      <c r="L44" s="89"/>
      <c r="M44" s="205"/>
      <c r="N44" s="205"/>
      <c r="O44" s="206"/>
      <c r="P44" s="206"/>
      <c r="Q44" s="210" t="e">
        <f t="shared" si="22"/>
        <v>#VALUE!</v>
      </c>
      <c r="R44" s="210" t="e">
        <f t="shared" ref="R44:R55" si="24">ROUND(IF(Q44=R$30,S$30,Q44),1)</f>
        <v>#VALUE!</v>
      </c>
      <c r="S44" s="210" t="e">
        <f t="shared" ref="S44:S55" si="25">ROUND(IF(R44=R$31,S$31,R44),1)</f>
        <v>#VALUE!</v>
      </c>
      <c r="T44" s="210" t="e">
        <f t="shared" ref="T44:T54" si="26">ROUND(IF(S44=R$32,S$32,S44),1)</f>
        <v>#VALUE!</v>
      </c>
      <c r="U44" s="210" t="e">
        <f t="shared" ref="U44:U54" si="27">ROUND(IF(T44=R$33,S$33,T44),1)</f>
        <v>#VALUE!</v>
      </c>
      <c r="V44" s="210" t="e">
        <f t="shared" ref="V44:V54" si="28">ROUND(IF(U44=R$34,S$34,U44),1)</f>
        <v>#VALUE!</v>
      </c>
      <c r="W44" s="210" t="e">
        <f t="shared" ref="W44:W54" si="29">ROUND(IF(V44=R$35,S$35,V44),1)</f>
        <v>#VALUE!</v>
      </c>
      <c r="Z44" s="222"/>
      <c r="AA44" s="222"/>
      <c r="AB44" s="222"/>
      <c r="AC44" s="222"/>
      <c r="AD44" s="222"/>
      <c r="AE44" s="217"/>
      <c r="AF44" s="217"/>
      <c r="AG44" s="217"/>
    </row>
    <row r="45" spans="1:33" hidden="1" x14ac:dyDescent="0.2">
      <c r="A45" s="89"/>
      <c r="B45" s="135" t="s">
        <v>31</v>
      </c>
      <c r="C45" s="136" t="s">
        <v>138</v>
      </c>
      <c r="D45" s="137"/>
      <c r="E45" s="138"/>
      <c r="F45" s="139" t="str">
        <f>IF(E45="","",(Q29))</f>
        <v/>
      </c>
      <c r="G45" s="139" t="str">
        <f t="shared" ref="G45:G52" si="30">IF(G44="","",SUM(G44-F45))</f>
        <v/>
      </c>
      <c r="H45" s="141" t="str">
        <f t="shared" si="23"/>
        <v/>
      </c>
      <c r="I45" s="95"/>
      <c r="J45" s="95"/>
      <c r="K45" s="89"/>
      <c r="L45" s="89"/>
      <c r="M45" s="205"/>
      <c r="N45" s="205"/>
      <c r="O45" s="206"/>
      <c r="P45" s="206"/>
      <c r="Q45" s="210" t="e">
        <f t="shared" si="22"/>
        <v>#VALUE!</v>
      </c>
      <c r="R45" s="210" t="e">
        <f t="shared" si="24"/>
        <v>#VALUE!</v>
      </c>
      <c r="S45" s="210" t="e">
        <f t="shared" si="25"/>
        <v>#VALUE!</v>
      </c>
      <c r="T45" s="210" t="e">
        <f t="shared" si="26"/>
        <v>#VALUE!</v>
      </c>
      <c r="U45" s="210" t="e">
        <f t="shared" si="27"/>
        <v>#VALUE!</v>
      </c>
      <c r="V45" s="210" t="e">
        <f t="shared" si="28"/>
        <v>#VALUE!</v>
      </c>
      <c r="W45" s="210" t="e">
        <f t="shared" si="29"/>
        <v>#VALUE!</v>
      </c>
      <c r="Z45" s="222"/>
      <c r="AA45" s="222"/>
      <c r="AB45" s="222"/>
      <c r="AC45" s="222"/>
      <c r="AD45" s="222"/>
      <c r="AE45" s="217"/>
      <c r="AF45" s="217"/>
      <c r="AG45" s="217"/>
    </row>
    <row r="46" spans="1:33" hidden="1" x14ac:dyDescent="0.2">
      <c r="A46" s="89"/>
      <c r="B46" s="135" t="s">
        <v>32</v>
      </c>
      <c r="C46" s="136" t="s">
        <v>139</v>
      </c>
      <c r="D46" s="137"/>
      <c r="E46" s="138"/>
      <c r="F46" s="139" t="str">
        <f>IF(E46="","",(Q30))</f>
        <v/>
      </c>
      <c r="G46" s="139" t="str">
        <f t="shared" si="30"/>
        <v/>
      </c>
      <c r="H46" s="141" t="str">
        <f t="shared" si="23"/>
        <v/>
      </c>
      <c r="I46" s="95"/>
      <c r="J46" s="95"/>
      <c r="K46" s="89"/>
      <c r="L46" s="89"/>
      <c r="M46" s="205"/>
      <c r="N46" s="205"/>
      <c r="O46" s="206"/>
      <c r="P46" s="206"/>
      <c r="Q46" s="210" t="e">
        <f t="shared" si="22"/>
        <v>#VALUE!</v>
      </c>
      <c r="R46" s="210" t="e">
        <f t="shared" si="24"/>
        <v>#VALUE!</v>
      </c>
      <c r="S46" s="210" t="e">
        <f t="shared" si="25"/>
        <v>#VALUE!</v>
      </c>
      <c r="T46" s="210" t="e">
        <f t="shared" si="26"/>
        <v>#VALUE!</v>
      </c>
      <c r="U46" s="210" t="e">
        <f t="shared" si="27"/>
        <v>#VALUE!</v>
      </c>
      <c r="V46" s="210" t="e">
        <f t="shared" si="28"/>
        <v>#VALUE!</v>
      </c>
      <c r="W46" s="210" t="e">
        <f t="shared" si="29"/>
        <v>#VALUE!</v>
      </c>
      <c r="Z46" s="222"/>
      <c r="AA46" s="222"/>
      <c r="AB46" s="222"/>
      <c r="AC46" s="222"/>
      <c r="AD46" s="222"/>
      <c r="AE46" s="217"/>
      <c r="AF46" s="217"/>
      <c r="AG46" s="217"/>
    </row>
    <row r="47" spans="1:33" hidden="1" x14ac:dyDescent="0.2">
      <c r="A47" s="89"/>
      <c r="B47" s="135" t="s">
        <v>33</v>
      </c>
      <c r="C47" s="136" t="s">
        <v>140</v>
      </c>
      <c r="D47" s="137"/>
      <c r="E47" s="138"/>
      <c r="F47" s="139" t="str">
        <f>IF(E47="","",(Q31))</f>
        <v/>
      </c>
      <c r="G47" s="139" t="str">
        <f t="shared" si="30"/>
        <v/>
      </c>
      <c r="H47" s="141" t="str">
        <f t="shared" si="23"/>
        <v/>
      </c>
      <c r="I47" s="95"/>
      <c r="J47" s="95"/>
      <c r="K47" s="89"/>
      <c r="L47" s="89"/>
      <c r="M47" s="205"/>
      <c r="N47" s="205"/>
      <c r="O47" s="206"/>
      <c r="P47" s="206"/>
      <c r="Q47" s="210" t="e">
        <f t="shared" si="22"/>
        <v>#VALUE!</v>
      </c>
      <c r="R47" s="210" t="e">
        <f t="shared" si="24"/>
        <v>#VALUE!</v>
      </c>
      <c r="S47" s="210" t="e">
        <f t="shared" si="25"/>
        <v>#VALUE!</v>
      </c>
      <c r="T47" s="210" t="e">
        <f t="shared" si="26"/>
        <v>#VALUE!</v>
      </c>
      <c r="U47" s="210" t="e">
        <f t="shared" si="27"/>
        <v>#VALUE!</v>
      </c>
      <c r="V47" s="210" t="e">
        <f t="shared" si="28"/>
        <v>#VALUE!</v>
      </c>
      <c r="W47" s="210" t="e">
        <f t="shared" si="29"/>
        <v>#VALUE!</v>
      </c>
      <c r="Z47" s="222"/>
      <c r="AA47" s="222"/>
      <c r="AB47" s="222"/>
      <c r="AC47" s="222"/>
      <c r="AD47" s="222"/>
      <c r="AE47" s="217"/>
      <c r="AF47" s="217"/>
      <c r="AG47" s="217"/>
    </row>
    <row r="48" spans="1:33" hidden="1" x14ac:dyDescent="0.2">
      <c r="A48" s="89"/>
      <c r="B48" s="135" t="s">
        <v>141</v>
      </c>
      <c r="C48" s="136" t="s">
        <v>142</v>
      </c>
      <c r="D48" s="137"/>
      <c r="E48" s="138"/>
      <c r="F48" s="139" t="str">
        <f>IF(E48="","",(Q32))</f>
        <v/>
      </c>
      <c r="G48" s="139" t="str">
        <f t="shared" si="30"/>
        <v/>
      </c>
      <c r="H48" s="141" t="str">
        <f t="shared" si="23"/>
        <v/>
      </c>
      <c r="I48" s="95"/>
      <c r="J48" s="95"/>
      <c r="K48" s="89"/>
      <c r="L48" s="89"/>
      <c r="M48" s="205"/>
      <c r="N48" s="205"/>
      <c r="O48" s="206"/>
      <c r="P48" s="206"/>
      <c r="Q48" s="210" t="e">
        <f t="shared" si="22"/>
        <v>#VALUE!</v>
      </c>
      <c r="R48" s="210" t="e">
        <f t="shared" si="24"/>
        <v>#VALUE!</v>
      </c>
      <c r="S48" s="210" t="e">
        <f t="shared" si="25"/>
        <v>#VALUE!</v>
      </c>
      <c r="T48" s="210" t="e">
        <f t="shared" si="26"/>
        <v>#VALUE!</v>
      </c>
      <c r="U48" s="210" t="e">
        <f t="shared" si="27"/>
        <v>#VALUE!</v>
      </c>
      <c r="V48" s="210" t="e">
        <f t="shared" si="28"/>
        <v>#VALUE!</v>
      </c>
      <c r="W48" s="210" t="e">
        <f t="shared" si="29"/>
        <v>#VALUE!</v>
      </c>
      <c r="Z48" s="222"/>
      <c r="AA48" s="222"/>
      <c r="AB48" s="222"/>
      <c r="AC48" s="222"/>
      <c r="AD48" s="222"/>
      <c r="AE48" s="217"/>
      <c r="AF48" s="217"/>
      <c r="AG48" s="217"/>
    </row>
    <row r="49" spans="1:33" hidden="1" x14ac:dyDescent="0.2">
      <c r="A49" s="89"/>
      <c r="B49" s="135" t="s">
        <v>143</v>
      </c>
      <c r="C49" s="136" t="s">
        <v>144</v>
      </c>
      <c r="D49" s="142"/>
      <c r="E49" s="138" t="str">
        <f>IF(D49="","",ROUND(SUM(D49*E$40),1))</f>
        <v/>
      </c>
      <c r="F49" s="139" t="str">
        <f t="shared" ref="F49:F55" si="31">IF(E49="","",(Q33))</f>
        <v/>
      </c>
      <c r="G49" s="139" t="str">
        <f t="shared" si="30"/>
        <v/>
      </c>
      <c r="H49" s="141" t="str">
        <f t="shared" si="23"/>
        <v/>
      </c>
      <c r="I49" s="95"/>
      <c r="J49" s="95"/>
      <c r="K49" s="89"/>
      <c r="L49" s="89"/>
      <c r="M49" s="205"/>
      <c r="N49" s="205"/>
      <c r="O49" s="206"/>
      <c r="P49" s="209"/>
      <c r="Q49" s="210" t="e">
        <f t="shared" si="22"/>
        <v>#VALUE!</v>
      </c>
      <c r="R49" s="210" t="e">
        <f t="shared" si="24"/>
        <v>#VALUE!</v>
      </c>
      <c r="S49" s="210" t="e">
        <f t="shared" si="25"/>
        <v>#VALUE!</v>
      </c>
      <c r="T49" s="210" t="e">
        <f t="shared" si="26"/>
        <v>#VALUE!</v>
      </c>
      <c r="U49" s="210" t="e">
        <f t="shared" si="27"/>
        <v>#VALUE!</v>
      </c>
      <c r="V49" s="210" t="e">
        <f t="shared" si="28"/>
        <v>#VALUE!</v>
      </c>
      <c r="W49" s="210" t="e">
        <f t="shared" si="29"/>
        <v>#VALUE!</v>
      </c>
      <c r="Z49" s="222"/>
      <c r="AA49" s="222"/>
      <c r="AB49" s="222"/>
      <c r="AC49" s="222"/>
      <c r="AD49" s="222"/>
      <c r="AE49" s="217"/>
      <c r="AF49" s="217"/>
      <c r="AG49" s="217"/>
    </row>
    <row r="50" spans="1:33" hidden="1" x14ac:dyDescent="0.2">
      <c r="A50" s="89"/>
      <c r="B50" s="135" t="s">
        <v>145</v>
      </c>
      <c r="C50" s="136" t="s">
        <v>146</v>
      </c>
      <c r="D50" s="142"/>
      <c r="E50" s="138" t="str">
        <f t="shared" ref="E50:E55" si="32">IF(D50="","",ROUND(SUM(D50*E$40),1))</f>
        <v/>
      </c>
      <c r="F50" s="139" t="str">
        <f t="shared" si="31"/>
        <v/>
      </c>
      <c r="G50" s="139" t="str">
        <f t="shared" si="30"/>
        <v/>
      </c>
      <c r="H50" s="141" t="str">
        <f t="shared" si="23"/>
        <v/>
      </c>
      <c r="I50" s="95"/>
      <c r="J50" s="95"/>
      <c r="K50" s="89"/>
      <c r="L50" s="89"/>
      <c r="M50" s="205"/>
      <c r="N50" s="205"/>
      <c r="O50" s="206"/>
      <c r="P50" s="206"/>
      <c r="Q50" s="210" t="e">
        <f t="shared" si="22"/>
        <v>#VALUE!</v>
      </c>
      <c r="R50" s="210" t="e">
        <f t="shared" si="24"/>
        <v>#VALUE!</v>
      </c>
      <c r="S50" s="210" t="e">
        <f t="shared" si="25"/>
        <v>#VALUE!</v>
      </c>
      <c r="T50" s="210" t="e">
        <f t="shared" si="26"/>
        <v>#VALUE!</v>
      </c>
      <c r="U50" s="210" t="e">
        <f t="shared" si="27"/>
        <v>#VALUE!</v>
      </c>
      <c r="V50" s="210" t="e">
        <f t="shared" si="28"/>
        <v>#VALUE!</v>
      </c>
      <c r="W50" s="210" t="e">
        <f t="shared" si="29"/>
        <v>#VALUE!</v>
      </c>
      <c r="Z50" s="222"/>
      <c r="AA50" s="222"/>
      <c r="AB50" s="222"/>
      <c r="AC50" s="222"/>
      <c r="AD50" s="222"/>
      <c r="AE50" s="217"/>
      <c r="AF50" s="217"/>
      <c r="AG50" s="217"/>
    </row>
    <row r="51" spans="1:33" hidden="1" x14ac:dyDescent="0.2">
      <c r="A51" s="89"/>
      <c r="B51" s="135" t="s">
        <v>147</v>
      </c>
      <c r="C51" s="136" t="str">
        <f>"600 "&amp;CHAR(181)&amp;"m"</f>
        <v>600 µm</v>
      </c>
      <c r="D51" s="142"/>
      <c r="E51" s="138" t="str">
        <f t="shared" si="32"/>
        <v/>
      </c>
      <c r="F51" s="139" t="str">
        <f t="shared" si="31"/>
        <v/>
      </c>
      <c r="G51" s="139" t="str">
        <f t="shared" si="30"/>
        <v/>
      </c>
      <c r="H51" s="141" t="str">
        <f t="shared" si="23"/>
        <v/>
      </c>
      <c r="I51" s="95"/>
      <c r="J51" s="95"/>
      <c r="K51" s="89"/>
      <c r="L51" s="89"/>
      <c r="M51" s="205"/>
      <c r="N51" s="205"/>
      <c r="O51" s="206"/>
      <c r="P51" s="206"/>
      <c r="Q51" s="210" t="e">
        <f t="shared" si="22"/>
        <v>#VALUE!</v>
      </c>
      <c r="R51" s="210" t="e">
        <f t="shared" si="24"/>
        <v>#VALUE!</v>
      </c>
      <c r="S51" s="210" t="e">
        <f t="shared" si="25"/>
        <v>#VALUE!</v>
      </c>
      <c r="T51" s="210" t="e">
        <f t="shared" si="26"/>
        <v>#VALUE!</v>
      </c>
      <c r="U51" s="210" t="e">
        <f t="shared" si="27"/>
        <v>#VALUE!</v>
      </c>
      <c r="V51" s="210" t="e">
        <f t="shared" si="28"/>
        <v>#VALUE!</v>
      </c>
      <c r="W51" s="210" t="e">
        <f t="shared" si="29"/>
        <v>#VALUE!</v>
      </c>
      <c r="Z51" s="222"/>
      <c r="AA51" s="222"/>
      <c r="AB51" s="222"/>
      <c r="AC51" s="222"/>
      <c r="AD51" s="222"/>
      <c r="AE51" s="217"/>
      <c r="AF51" s="217"/>
      <c r="AG51" s="217"/>
    </row>
    <row r="52" spans="1:33" hidden="1" x14ac:dyDescent="0.2">
      <c r="A52" s="89"/>
      <c r="B52" s="135" t="s">
        <v>148</v>
      </c>
      <c r="C52" s="136" t="str">
        <f>"300 "&amp;CHAR(181)&amp;"m"</f>
        <v>300 µm</v>
      </c>
      <c r="D52" s="142"/>
      <c r="E52" s="138" t="str">
        <f t="shared" si="32"/>
        <v/>
      </c>
      <c r="F52" s="139" t="str">
        <f t="shared" si="31"/>
        <v/>
      </c>
      <c r="G52" s="139" t="str">
        <f t="shared" si="30"/>
        <v/>
      </c>
      <c r="H52" s="141" t="str">
        <f t="shared" si="23"/>
        <v/>
      </c>
      <c r="I52" s="95"/>
      <c r="J52" s="95"/>
      <c r="K52" s="89"/>
      <c r="L52" s="89"/>
      <c r="M52" s="205"/>
      <c r="N52" s="205"/>
      <c r="O52" s="206"/>
      <c r="P52" s="209"/>
      <c r="Q52" s="210" t="e">
        <f t="shared" si="22"/>
        <v>#VALUE!</v>
      </c>
      <c r="R52" s="210" t="e">
        <f t="shared" si="24"/>
        <v>#VALUE!</v>
      </c>
      <c r="S52" s="210" t="e">
        <f t="shared" si="25"/>
        <v>#VALUE!</v>
      </c>
      <c r="T52" s="210" t="e">
        <f t="shared" si="26"/>
        <v>#VALUE!</v>
      </c>
      <c r="U52" s="210" t="e">
        <f t="shared" si="27"/>
        <v>#VALUE!</v>
      </c>
      <c r="V52" s="210" t="e">
        <f t="shared" si="28"/>
        <v>#VALUE!</v>
      </c>
      <c r="W52" s="210" t="e">
        <f t="shared" si="29"/>
        <v>#VALUE!</v>
      </c>
      <c r="Z52" s="222"/>
      <c r="AA52" s="222"/>
      <c r="AB52" s="222"/>
      <c r="AC52" s="222"/>
      <c r="AD52" s="222"/>
      <c r="AE52" s="217"/>
      <c r="AF52" s="217"/>
      <c r="AG52" s="217"/>
    </row>
    <row r="53" spans="1:33" hidden="1" x14ac:dyDescent="0.2">
      <c r="A53" s="89"/>
      <c r="B53" s="135" t="s">
        <v>149</v>
      </c>
      <c r="C53" s="136" t="str">
        <f>"150 "&amp;CHAR(181)&amp;"m"</f>
        <v>150 µm</v>
      </c>
      <c r="D53" s="142"/>
      <c r="E53" s="138" t="str">
        <f t="shared" si="32"/>
        <v/>
      </c>
      <c r="F53" s="139" t="str">
        <f t="shared" si="31"/>
        <v/>
      </c>
      <c r="G53" s="139" t="str">
        <f>IF(G52="","",SUM(G52-F53))</f>
        <v/>
      </c>
      <c r="H53" s="141" t="str">
        <f t="shared" si="23"/>
        <v/>
      </c>
      <c r="I53" s="95"/>
      <c r="J53" s="95"/>
      <c r="K53" s="89"/>
      <c r="L53" s="89"/>
      <c r="M53" s="205"/>
      <c r="N53" s="205"/>
      <c r="O53" s="206"/>
      <c r="P53" s="209"/>
      <c r="Q53" s="210" t="e">
        <f t="shared" si="22"/>
        <v>#VALUE!</v>
      </c>
      <c r="R53" s="210" t="e">
        <f t="shared" si="24"/>
        <v>#VALUE!</v>
      </c>
      <c r="S53" s="210" t="e">
        <f t="shared" si="25"/>
        <v>#VALUE!</v>
      </c>
      <c r="T53" s="210" t="e">
        <f t="shared" si="26"/>
        <v>#VALUE!</v>
      </c>
      <c r="U53" s="210" t="e">
        <f t="shared" si="27"/>
        <v>#VALUE!</v>
      </c>
      <c r="V53" s="210" t="e">
        <f t="shared" si="28"/>
        <v>#VALUE!</v>
      </c>
      <c r="W53" s="210" t="e">
        <f t="shared" si="29"/>
        <v>#VALUE!</v>
      </c>
      <c r="Z53" s="222"/>
      <c r="AA53" s="222"/>
      <c r="AB53" s="222"/>
      <c r="AC53" s="222"/>
      <c r="AD53" s="222"/>
      <c r="AE53" s="217"/>
      <c r="AF53" s="217"/>
      <c r="AG53" s="217"/>
    </row>
    <row r="54" spans="1:33" ht="15.75" hidden="1" thickBot="1" x14ac:dyDescent="0.25">
      <c r="A54" s="89"/>
      <c r="B54" s="135" t="s">
        <v>150</v>
      </c>
      <c r="C54" s="136" t="str">
        <f>"75 "&amp;CHAR(181)&amp;"m"</f>
        <v>75 µm</v>
      </c>
      <c r="D54" s="142"/>
      <c r="E54" s="138" t="str">
        <f t="shared" si="32"/>
        <v/>
      </c>
      <c r="F54" s="139" t="str">
        <f t="shared" si="31"/>
        <v/>
      </c>
      <c r="G54" s="143" t="str">
        <f>IF(G53="","",SUM(G53-F54))</f>
        <v/>
      </c>
      <c r="H54" s="144" t="str">
        <f t="shared" si="23"/>
        <v/>
      </c>
      <c r="I54" s="95"/>
      <c r="J54" s="95"/>
      <c r="K54" s="89"/>
      <c r="L54" s="89"/>
      <c r="M54" s="205"/>
      <c r="N54" s="205"/>
      <c r="O54" s="206"/>
      <c r="P54" s="209"/>
      <c r="Q54" s="210" t="e">
        <f t="shared" si="22"/>
        <v>#VALUE!</v>
      </c>
      <c r="R54" s="210" t="e">
        <f t="shared" si="24"/>
        <v>#VALUE!</v>
      </c>
      <c r="S54" s="210" t="e">
        <f t="shared" si="25"/>
        <v>#VALUE!</v>
      </c>
      <c r="T54" s="210" t="e">
        <f t="shared" si="26"/>
        <v>#VALUE!</v>
      </c>
      <c r="U54" s="210" t="e">
        <f t="shared" si="27"/>
        <v>#VALUE!</v>
      </c>
      <c r="V54" s="210" t="e">
        <f t="shared" si="28"/>
        <v>#VALUE!</v>
      </c>
      <c r="W54" s="210" t="e">
        <f t="shared" si="29"/>
        <v>#VALUE!</v>
      </c>
      <c r="Z54" s="222"/>
      <c r="AA54" s="222"/>
      <c r="AB54" s="222"/>
      <c r="AC54" s="222"/>
      <c r="AD54" s="222"/>
      <c r="AE54" s="217"/>
      <c r="AF54" s="217"/>
      <c r="AG54" s="217"/>
    </row>
    <row r="55" spans="1:33" ht="15.75" hidden="1" thickBot="1" x14ac:dyDescent="0.25">
      <c r="A55" s="89"/>
      <c r="B55" s="319" t="s">
        <v>126</v>
      </c>
      <c r="C55" s="320"/>
      <c r="D55" s="142"/>
      <c r="E55" s="138" t="str">
        <f t="shared" si="32"/>
        <v/>
      </c>
      <c r="F55" s="145" t="str">
        <f t="shared" si="31"/>
        <v/>
      </c>
      <c r="G55" s="75"/>
      <c r="H55" s="75"/>
      <c r="I55" s="76"/>
      <c r="J55" s="76"/>
      <c r="K55" s="89"/>
      <c r="L55" s="89"/>
      <c r="M55" s="205"/>
      <c r="N55" s="205"/>
      <c r="O55" s="206"/>
      <c r="P55" s="209"/>
      <c r="Q55" s="210" t="e">
        <f>ROUND(IF(E55="","",SUM((E55+E56)/$E$36)*100),1)</f>
        <v>#VALUE!</v>
      </c>
      <c r="R55" s="210" t="e">
        <f t="shared" si="24"/>
        <v>#VALUE!</v>
      </c>
      <c r="S55" s="210" t="e">
        <f t="shared" si="25"/>
        <v>#VALUE!</v>
      </c>
      <c r="T55" s="210" t="e">
        <f>ROUND(IF(S55=R$32,S$32,S55),1)</f>
        <v>#VALUE!</v>
      </c>
      <c r="U55" s="210" t="e">
        <f>ROUND(IF(T55=R$33,S$33,T55),1)</f>
        <v>#VALUE!</v>
      </c>
      <c r="V55" s="210" t="e">
        <f>ROUND(IF(U55=R$34,S$34,U55),1)</f>
        <v>#VALUE!</v>
      </c>
      <c r="W55" s="210" t="e">
        <f>ROUND(IF(V55=R$35,S$35,V55),1)</f>
        <v>#VALUE!</v>
      </c>
      <c r="Z55" s="222"/>
      <c r="AA55" s="222"/>
      <c r="AB55" s="222"/>
      <c r="AC55" s="222"/>
      <c r="AD55" s="222"/>
      <c r="AE55" s="217"/>
      <c r="AF55" s="217"/>
      <c r="AG55" s="217"/>
    </row>
    <row r="56" spans="1:33" ht="15.75" hidden="1" thickBot="1" x14ac:dyDescent="0.25">
      <c r="A56" s="89"/>
      <c r="B56" s="319" t="s">
        <v>127</v>
      </c>
      <c r="C56" s="320"/>
      <c r="D56" s="137"/>
      <c r="E56" s="146" t="str">
        <f>IF(E37="","",SUM(E36-E37))</f>
        <v/>
      </c>
      <c r="F56" s="147"/>
      <c r="G56" s="75"/>
      <c r="H56" s="81"/>
      <c r="I56" s="81"/>
      <c r="J56" s="81"/>
      <c r="K56" s="89"/>
      <c r="L56" s="89"/>
      <c r="M56" s="205"/>
      <c r="N56" s="205"/>
      <c r="O56" s="206"/>
      <c r="P56" s="206"/>
      <c r="Q56" s="210" t="e">
        <f>ROUND(SUM(Q43:Q55),1)</f>
        <v>#VALUE!</v>
      </c>
      <c r="R56" s="210" t="e">
        <f t="shared" ref="R56:W56" si="33">ROUND(IF(R55="","",SUM(R44:R55)),1)</f>
        <v>#VALUE!</v>
      </c>
      <c r="S56" s="210" t="e">
        <f t="shared" si="33"/>
        <v>#VALUE!</v>
      </c>
      <c r="T56" s="210" t="e">
        <f t="shared" si="33"/>
        <v>#VALUE!</v>
      </c>
      <c r="U56" s="210" t="e">
        <f t="shared" si="33"/>
        <v>#VALUE!</v>
      </c>
      <c r="V56" s="210" t="e">
        <f t="shared" si="33"/>
        <v>#VALUE!</v>
      </c>
      <c r="W56" s="210" t="e">
        <f t="shared" si="33"/>
        <v>#VALUE!</v>
      </c>
      <c r="Z56" s="222"/>
      <c r="AA56" s="222"/>
      <c r="AB56" s="222"/>
      <c r="AC56" s="222"/>
      <c r="AD56" s="222"/>
      <c r="AE56" s="217"/>
      <c r="AF56" s="217"/>
      <c r="AG56" s="217"/>
    </row>
    <row r="57" spans="1:33" ht="15.75" hidden="1" thickBot="1" x14ac:dyDescent="0.25">
      <c r="A57" s="89"/>
      <c r="B57" s="319" t="s">
        <v>128</v>
      </c>
      <c r="C57" s="320"/>
      <c r="D57" s="148" t="str">
        <f>IF(D55="","",SUM(D49:D55))</f>
        <v/>
      </c>
      <c r="E57" s="149" t="str">
        <f>IF(E55="","",SUM(E43:E56))</f>
        <v/>
      </c>
      <c r="F57" s="150" t="str">
        <f>IF(F55="","",SUM(F43:F55))</f>
        <v/>
      </c>
      <c r="G57" s="84"/>
      <c r="H57" s="81"/>
      <c r="I57" s="81"/>
      <c r="J57" s="81"/>
      <c r="K57" s="34"/>
      <c r="L57" s="34"/>
      <c r="M57" s="205"/>
      <c r="N57" s="205"/>
      <c r="O57" s="206"/>
      <c r="P57" s="206"/>
      <c r="Z57" s="222"/>
      <c r="AA57" s="222"/>
      <c r="AB57" s="222"/>
      <c r="AC57" s="222"/>
      <c r="AD57" s="222"/>
      <c r="AE57" s="217"/>
      <c r="AF57" s="217"/>
      <c r="AG57" s="217"/>
    </row>
    <row r="58" spans="1:33" ht="15.75" hidden="1" thickBot="1" x14ac:dyDescent="0.25">
      <c r="A58" s="89"/>
      <c r="B58" s="339" t="s">
        <v>129</v>
      </c>
      <c r="C58" s="340"/>
      <c r="D58" s="151" t="str">
        <f>IF(D57="","",ROUND((SUM(D57/E39)*100),1))</f>
        <v/>
      </c>
      <c r="E58" s="145" t="str">
        <f>IF(E57="","",ROUND((SUM(E57/E36)*100),1))</f>
        <v/>
      </c>
      <c r="F58" s="81"/>
      <c r="G58" s="81"/>
      <c r="H58" s="81"/>
      <c r="I58" s="81"/>
      <c r="J58" s="81"/>
      <c r="K58" s="34"/>
      <c r="L58" s="34"/>
      <c r="M58" s="205"/>
      <c r="N58" s="205"/>
      <c r="O58" s="206"/>
      <c r="P58" s="206"/>
      <c r="Z58" s="222"/>
      <c r="AA58" s="222"/>
      <c r="AB58" s="222"/>
      <c r="AC58" s="222"/>
      <c r="AD58" s="222"/>
      <c r="AE58" s="217"/>
      <c r="AF58" s="217"/>
      <c r="AG58" s="217"/>
    </row>
    <row r="59" spans="1:33" hidden="1" x14ac:dyDescent="0.2">
      <c r="A59" s="89"/>
      <c r="B59" s="89"/>
      <c r="C59" s="89"/>
      <c r="D59" s="89"/>
      <c r="E59" s="102"/>
      <c r="F59" s="102"/>
      <c r="G59" s="102"/>
      <c r="H59" s="102"/>
      <c r="I59" s="102"/>
      <c r="J59" s="102"/>
      <c r="K59" s="89"/>
      <c r="L59" s="89"/>
      <c r="M59" s="205"/>
      <c r="N59" s="205"/>
      <c r="O59" s="206"/>
      <c r="P59" s="206"/>
      <c r="Z59" s="222"/>
      <c r="AA59" s="222"/>
      <c r="AB59" s="222"/>
      <c r="AC59" s="222"/>
      <c r="AD59" s="222"/>
      <c r="AE59" s="217"/>
      <c r="AF59" s="217"/>
      <c r="AG59" s="217"/>
    </row>
    <row r="60" spans="1:33" hidden="1" x14ac:dyDescent="0.2">
      <c r="A60" s="89"/>
      <c r="B60" s="89"/>
      <c r="C60" s="89"/>
      <c r="D60" s="89"/>
      <c r="E60" s="102"/>
      <c r="F60" s="102"/>
      <c r="G60" s="102"/>
      <c r="H60" s="102"/>
      <c r="I60" s="102"/>
      <c r="J60" s="102"/>
      <c r="K60" s="89"/>
      <c r="L60" s="89"/>
      <c r="M60" s="205"/>
      <c r="N60" s="205"/>
      <c r="O60" s="206"/>
      <c r="P60" s="206"/>
      <c r="Z60" s="222"/>
      <c r="AA60" s="222"/>
      <c r="AB60" s="222"/>
      <c r="AC60" s="222"/>
      <c r="AD60" s="222"/>
      <c r="AE60" s="217"/>
      <c r="AF60" s="217"/>
      <c r="AG60" s="217"/>
    </row>
    <row r="61" spans="1:33" hidden="1" x14ac:dyDescent="0.2">
      <c r="A61" s="89"/>
      <c r="B61" s="89"/>
      <c r="C61" s="89"/>
      <c r="D61" s="89"/>
      <c r="E61" s="102"/>
      <c r="F61" s="102"/>
      <c r="G61" s="102"/>
      <c r="H61" s="102"/>
      <c r="I61" s="102"/>
      <c r="J61" s="102"/>
      <c r="K61" s="89"/>
      <c r="L61" s="89"/>
      <c r="M61" s="205"/>
      <c r="N61" s="205"/>
      <c r="O61" s="206"/>
      <c r="P61" s="206"/>
      <c r="Z61" s="222"/>
      <c r="AA61" s="222"/>
      <c r="AB61" s="222"/>
      <c r="AC61" s="222"/>
      <c r="AD61" s="222"/>
      <c r="AE61" s="217"/>
      <c r="AF61" s="217"/>
      <c r="AG61" s="217"/>
    </row>
    <row r="62" spans="1:33" hidden="1" x14ac:dyDescent="0.2">
      <c r="A62" s="89"/>
      <c r="B62" s="89"/>
      <c r="C62" s="89"/>
      <c r="D62" s="89"/>
      <c r="E62" s="102"/>
      <c r="F62" s="102"/>
      <c r="G62" s="102"/>
      <c r="H62" s="102"/>
      <c r="I62" s="102"/>
      <c r="J62" s="102"/>
      <c r="K62" s="89"/>
      <c r="L62" s="89"/>
      <c r="M62" s="205"/>
      <c r="N62" s="205"/>
      <c r="O62" s="206"/>
      <c r="P62" s="206"/>
      <c r="Z62" s="222"/>
      <c r="AA62" s="222"/>
      <c r="AB62" s="222"/>
      <c r="AC62" s="222"/>
      <c r="AD62" s="222"/>
      <c r="AE62" s="217"/>
      <c r="AF62" s="217"/>
      <c r="AG62" s="217"/>
    </row>
    <row r="63" spans="1:33" hidden="1" x14ac:dyDescent="0.2">
      <c r="A63" s="89"/>
      <c r="B63" s="89"/>
      <c r="C63" s="89"/>
      <c r="D63" s="89"/>
      <c r="E63" s="102"/>
      <c r="F63" s="102"/>
      <c r="G63" s="102"/>
      <c r="H63" s="102"/>
      <c r="I63" s="102"/>
      <c r="J63" s="102"/>
      <c r="K63" s="89"/>
      <c r="L63" s="89"/>
      <c r="M63" s="205"/>
      <c r="N63" s="205"/>
      <c r="O63" s="206"/>
      <c r="P63" s="206"/>
      <c r="Z63" s="222"/>
      <c r="AA63" s="222"/>
      <c r="AB63" s="222"/>
      <c r="AC63" s="222"/>
      <c r="AD63" s="222"/>
      <c r="AE63" s="217"/>
      <c r="AF63" s="217"/>
      <c r="AG63" s="217"/>
    </row>
    <row r="64" spans="1:33" hidden="1" x14ac:dyDescent="0.2">
      <c r="A64" s="89"/>
      <c r="B64" s="89"/>
      <c r="C64" s="89"/>
      <c r="D64" s="89"/>
      <c r="E64" s="102"/>
      <c r="F64" s="102"/>
      <c r="G64" s="102"/>
      <c r="H64" s="102"/>
      <c r="I64" s="102"/>
      <c r="J64" s="102"/>
      <c r="K64" s="89"/>
      <c r="L64" s="89"/>
      <c r="M64" s="205"/>
      <c r="N64" s="205"/>
      <c r="O64" s="206"/>
      <c r="P64" s="206"/>
      <c r="Z64" s="222"/>
      <c r="AA64" s="222"/>
      <c r="AB64" s="222"/>
      <c r="AC64" s="222"/>
      <c r="AD64" s="222"/>
      <c r="AE64" s="217"/>
      <c r="AF64" s="217"/>
      <c r="AG64" s="217"/>
    </row>
    <row r="65" spans="1:33" hidden="1" x14ac:dyDescent="0.2">
      <c r="A65" s="89"/>
      <c r="B65" s="89"/>
      <c r="C65" s="89"/>
      <c r="D65" s="89"/>
      <c r="E65" s="102"/>
      <c r="F65" s="102"/>
      <c r="G65" s="102"/>
      <c r="H65" s="102"/>
      <c r="I65" s="102"/>
      <c r="J65" s="102"/>
      <c r="K65" s="89"/>
      <c r="L65" s="89"/>
      <c r="M65" s="205"/>
      <c r="N65" s="205"/>
      <c r="O65" s="206"/>
      <c r="P65" s="206"/>
      <c r="Z65" s="222"/>
      <c r="AA65" s="222"/>
      <c r="AB65" s="222"/>
      <c r="AC65" s="222"/>
      <c r="AD65" s="222"/>
      <c r="AE65" s="217"/>
      <c r="AF65" s="217"/>
      <c r="AG65" s="217"/>
    </row>
    <row r="66" spans="1:33" hidden="1" x14ac:dyDescent="0.2">
      <c r="A66" s="89"/>
      <c r="B66" s="89"/>
      <c r="C66" s="89"/>
      <c r="D66" s="89"/>
      <c r="E66" s="102"/>
      <c r="F66" s="102"/>
      <c r="G66" s="102"/>
      <c r="H66" s="102"/>
      <c r="I66" s="102"/>
      <c r="J66" s="102"/>
      <c r="K66" s="89"/>
      <c r="L66" s="89"/>
      <c r="M66" s="205"/>
      <c r="N66" s="205"/>
      <c r="O66" s="206"/>
      <c r="P66" s="206"/>
      <c r="Z66" s="222"/>
      <c r="AA66" s="222"/>
      <c r="AB66" s="222"/>
      <c r="AC66" s="222"/>
      <c r="AD66" s="222"/>
      <c r="AE66" s="217"/>
      <c r="AF66" s="217"/>
      <c r="AG66" s="217"/>
    </row>
    <row r="67" spans="1:33" hidden="1" x14ac:dyDescent="0.2">
      <c r="A67" s="89"/>
      <c r="B67" s="89"/>
      <c r="C67" s="89"/>
      <c r="D67" s="89"/>
      <c r="E67" s="102"/>
      <c r="F67" s="102"/>
      <c r="G67" s="102"/>
      <c r="H67" s="102"/>
      <c r="I67" s="102"/>
      <c r="J67" s="102"/>
      <c r="K67" s="89"/>
      <c r="L67" s="89"/>
      <c r="M67" s="205"/>
      <c r="N67" s="205"/>
      <c r="O67" s="206"/>
      <c r="P67" s="206"/>
      <c r="Z67" s="222"/>
      <c r="AA67" s="222"/>
      <c r="AB67" s="222"/>
      <c r="AC67" s="222"/>
      <c r="AD67" s="222"/>
      <c r="AE67" s="217"/>
      <c r="AF67" s="217"/>
      <c r="AG67" s="217"/>
    </row>
    <row r="68" spans="1:33" hidden="1" x14ac:dyDescent="0.2">
      <c r="A68" s="89"/>
      <c r="B68" s="89"/>
      <c r="C68" s="89"/>
      <c r="D68" s="89"/>
      <c r="E68" s="102"/>
      <c r="F68" s="102"/>
      <c r="G68" s="102"/>
      <c r="H68" s="102"/>
      <c r="I68" s="102"/>
      <c r="J68" s="102"/>
      <c r="K68" s="89"/>
      <c r="L68" s="89"/>
      <c r="M68" s="205"/>
      <c r="N68" s="205"/>
      <c r="O68" s="206"/>
      <c r="P68" s="206"/>
      <c r="Z68" s="222"/>
      <c r="AA68" s="222"/>
      <c r="AB68" s="222"/>
      <c r="AC68" s="222"/>
      <c r="AD68" s="222"/>
      <c r="AE68" s="217"/>
      <c r="AF68" s="217"/>
      <c r="AG68" s="217"/>
    </row>
    <row r="69" spans="1:33" hidden="1" x14ac:dyDescent="0.2">
      <c r="A69" s="89"/>
      <c r="B69" s="89"/>
      <c r="C69" s="89"/>
      <c r="D69" s="89"/>
      <c r="E69" s="102"/>
      <c r="F69" s="102"/>
      <c r="G69" s="102"/>
      <c r="H69" s="102"/>
      <c r="I69" s="102"/>
      <c r="J69" s="102"/>
      <c r="K69" s="89"/>
      <c r="L69" s="89"/>
      <c r="M69" s="205"/>
      <c r="N69" s="205"/>
      <c r="O69" s="206"/>
      <c r="P69" s="206"/>
      <c r="Z69" s="222"/>
      <c r="AA69" s="222"/>
      <c r="AB69" s="222"/>
      <c r="AC69" s="222"/>
      <c r="AD69" s="222"/>
      <c r="AE69" s="217"/>
      <c r="AF69" s="217"/>
      <c r="AG69" s="217"/>
    </row>
    <row r="70" spans="1:33" hidden="1" x14ac:dyDescent="0.2">
      <c r="A70" s="89"/>
      <c r="B70" s="89"/>
      <c r="C70" s="89"/>
      <c r="D70" s="89"/>
      <c r="E70" s="102"/>
      <c r="F70" s="102"/>
      <c r="G70" s="102"/>
      <c r="H70" s="102"/>
      <c r="I70" s="102"/>
      <c r="J70" s="102"/>
      <c r="K70" s="89"/>
      <c r="L70" s="89"/>
      <c r="M70" s="205"/>
      <c r="N70" s="205"/>
      <c r="O70" s="206"/>
      <c r="P70" s="206"/>
      <c r="Z70" s="222"/>
      <c r="AA70" s="222"/>
      <c r="AB70" s="222"/>
      <c r="AC70" s="222"/>
      <c r="AD70" s="222"/>
      <c r="AE70" s="217"/>
      <c r="AF70" s="217"/>
      <c r="AG70" s="217"/>
    </row>
    <row r="71" spans="1:33" hidden="1" x14ac:dyDescent="0.2">
      <c r="A71" s="89"/>
      <c r="B71" s="89"/>
      <c r="C71" s="89"/>
      <c r="D71" s="89"/>
      <c r="E71" s="102"/>
      <c r="F71" s="102"/>
      <c r="G71" s="102"/>
      <c r="H71" s="102"/>
      <c r="I71" s="102"/>
      <c r="J71" s="102"/>
      <c r="K71" s="89"/>
      <c r="L71" s="89"/>
      <c r="M71" s="205"/>
      <c r="N71" s="205"/>
      <c r="O71" s="206"/>
      <c r="P71" s="206"/>
      <c r="Z71" s="222"/>
      <c r="AA71" s="222"/>
      <c r="AB71" s="222"/>
      <c r="AC71" s="222"/>
      <c r="AD71" s="222"/>
      <c r="AE71" s="217"/>
      <c r="AF71" s="217"/>
      <c r="AG71" s="217"/>
    </row>
    <row r="72" spans="1:33" hidden="1" x14ac:dyDescent="0.2">
      <c r="A72" s="89"/>
      <c r="B72" s="89"/>
      <c r="C72" s="89"/>
      <c r="D72" s="89"/>
      <c r="E72" s="102"/>
      <c r="F72" s="102"/>
      <c r="G72" s="102"/>
      <c r="H72" s="102"/>
      <c r="I72" s="102"/>
      <c r="J72" s="102"/>
      <c r="K72" s="89"/>
      <c r="L72" s="89"/>
      <c r="M72" s="205"/>
      <c r="N72" s="205"/>
      <c r="O72" s="206"/>
      <c r="P72" s="206"/>
      <c r="Z72" s="222"/>
      <c r="AA72" s="222"/>
      <c r="AB72" s="222"/>
      <c r="AC72" s="222"/>
      <c r="AD72" s="222"/>
      <c r="AE72" s="217"/>
      <c r="AF72" s="217"/>
      <c r="AG72" s="217"/>
    </row>
    <row r="73" spans="1:33" hidden="1" x14ac:dyDescent="0.2">
      <c r="A73" s="89"/>
      <c r="B73" s="89"/>
      <c r="C73" s="89"/>
      <c r="D73" s="89"/>
      <c r="E73" s="102"/>
      <c r="F73" s="102"/>
      <c r="G73" s="102"/>
      <c r="H73" s="102"/>
      <c r="I73" s="102"/>
      <c r="J73" s="102"/>
      <c r="K73" s="89"/>
      <c r="L73" s="89"/>
      <c r="M73" s="205"/>
      <c r="N73" s="205"/>
      <c r="O73" s="206"/>
      <c r="P73" s="206"/>
      <c r="Z73" s="222"/>
      <c r="AA73" s="222"/>
      <c r="AB73" s="222"/>
      <c r="AC73" s="222"/>
      <c r="AD73" s="222"/>
      <c r="AE73" s="217"/>
      <c r="AF73" s="217"/>
      <c r="AG73" s="217"/>
    </row>
    <row r="74" spans="1:33" hidden="1" x14ac:dyDescent="0.2">
      <c r="A74" s="89"/>
      <c r="B74" s="89"/>
      <c r="C74" s="89"/>
      <c r="D74" s="89"/>
      <c r="E74" s="102"/>
      <c r="F74" s="102"/>
      <c r="G74" s="102"/>
      <c r="H74" s="102"/>
      <c r="I74" s="102"/>
      <c r="J74" s="102"/>
      <c r="K74" s="89"/>
      <c r="L74" s="89"/>
      <c r="M74" s="205"/>
      <c r="N74" s="205"/>
      <c r="O74" s="206"/>
      <c r="P74" s="206"/>
      <c r="Z74" s="222"/>
      <c r="AA74" s="222"/>
      <c r="AB74" s="222"/>
      <c r="AC74" s="222"/>
      <c r="AD74" s="222"/>
      <c r="AE74" s="217"/>
      <c r="AF74" s="217"/>
      <c r="AG74" s="217"/>
    </row>
    <row r="75" spans="1:33" hidden="1" x14ac:dyDescent="0.2">
      <c r="A75" s="89"/>
      <c r="B75" s="89"/>
      <c r="C75" s="89"/>
      <c r="D75" s="89"/>
      <c r="E75" s="102"/>
      <c r="F75" s="102"/>
      <c r="G75" s="102"/>
      <c r="H75" s="102"/>
      <c r="I75" s="102"/>
      <c r="J75" s="102"/>
      <c r="K75" s="89"/>
      <c r="L75" s="89"/>
      <c r="M75" s="205"/>
      <c r="N75" s="205"/>
      <c r="O75" s="206"/>
      <c r="P75" s="206"/>
      <c r="Z75" s="222"/>
      <c r="AA75" s="222"/>
      <c r="AB75" s="222"/>
      <c r="AC75" s="222"/>
      <c r="AD75" s="222"/>
      <c r="AE75" s="217"/>
      <c r="AF75" s="217"/>
      <c r="AG75" s="217"/>
    </row>
    <row r="76" spans="1:33" hidden="1" x14ac:dyDescent="0.2">
      <c r="A76" s="89"/>
      <c r="B76" s="89"/>
      <c r="C76" s="89"/>
      <c r="D76" s="89"/>
      <c r="E76" s="102"/>
      <c r="F76" s="102"/>
      <c r="G76" s="102"/>
      <c r="H76" s="102"/>
      <c r="I76" s="102"/>
      <c r="J76" s="102"/>
      <c r="K76" s="89"/>
      <c r="L76" s="89"/>
      <c r="M76" s="205"/>
      <c r="N76" s="205"/>
      <c r="O76" s="206"/>
      <c r="P76" s="206"/>
      <c r="Z76" s="222"/>
      <c r="AA76" s="222"/>
      <c r="AB76" s="222"/>
      <c r="AC76" s="222"/>
      <c r="AD76" s="222"/>
      <c r="AE76" s="217"/>
      <c r="AF76" s="217"/>
      <c r="AG76" s="217"/>
    </row>
    <row r="77" spans="1:33" hidden="1" x14ac:dyDescent="0.2">
      <c r="A77" s="89"/>
      <c r="B77" s="89"/>
      <c r="C77" s="89"/>
      <c r="D77" s="89"/>
      <c r="E77" s="102"/>
      <c r="F77" s="102"/>
      <c r="G77" s="102"/>
      <c r="H77" s="102"/>
      <c r="I77" s="102"/>
      <c r="J77" s="102"/>
      <c r="K77" s="89"/>
      <c r="L77" s="89"/>
      <c r="M77" s="205"/>
      <c r="N77" s="205"/>
      <c r="O77" s="206"/>
      <c r="P77" s="206"/>
      <c r="Z77" s="222"/>
      <c r="AA77" s="222"/>
      <c r="AB77" s="222"/>
      <c r="AC77" s="222"/>
      <c r="AD77" s="222"/>
      <c r="AE77" s="217"/>
      <c r="AF77" s="217"/>
      <c r="AG77" s="217"/>
    </row>
    <row r="78" spans="1:33" hidden="1" x14ac:dyDescent="0.2">
      <c r="A78" s="89"/>
      <c r="B78" s="89"/>
      <c r="C78" s="89"/>
      <c r="D78" s="89"/>
      <c r="E78" s="102"/>
      <c r="F78" s="102"/>
      <c r="G78" s="102"/>
      <c r="H78" s="102"/>
      <c r="I78" s="102"/>
      <c r="J78" s="102"/>
      <c r="K78" s="89"/>
      <c r="L78" s="89"/>
      <c r="M78" s="205"/>
      <c r="N78" s="205"/>
      <c r="O78" s="206"/>
      <c r="P78" s="206"/>
      <c r="Z78" s="222"/>
      <c r="AA78" s="222"/>
      <c r="AB78" s="222"/>
      <c r="AC78" s="222"/>
      <c r="AD78" s="222"/>
      <c r="AE78" s="217"/>
      <c r="AF78" s="217"/>
      <c r="AG78" s="217"/>
    </row>
    <row r="79" spans="1:33" hidden="1" x14ac:dyDescent="0.2">
      <c r="A79" s="89"/>
      <c r="B79" s="89"/>
      <c r="C79" s="89"/>
      <c r="D79" s="89"/>
      <c r="E79" s="102"/>
      <c r="F79" s="102"/>
      <c r="G79" s="102"/>
      <c r="H79" s="102"/>
      <c r="I79" s="102"/>
      <c r="J79" s="102"/>
      <c r="K79" s="89"/>
      <c r="L79" s="89"/>
      <c r="M79" s="205"/>
      <c r="N79" s="205"/>
      <c r="O79" s="206"/>
      <c r="P79" s="206"/>
      <c r="Z79" s="222"/>
      <c r="AA79" s="222"/>
      <c r="AB79" s="222"/>
      <c r="AC79" s="222"/>
      <c r="AD79" s="222"/>
      <c r="AE79" s="217"/>
      <c r="AF79" s="217"/>
      <c r="AG79" s="217"/>
    </row>
    <row r="80" spans="1:33" hidden="1" x14ac:dyDescent="0.2">
      <c r="A80" s="89"/>
      <c r="B80" s="89"/>
      <c r="C80" s="89"/>
      <c r="D80" s="89"/>
      <c r="E80" s="102"/>
      <c r="F80" s="102"/>
      <c r="G80" s="102"/>
      <c r="H80" s="102"/>
      <c r="I80" s="102"/>
      <c r="J80" s="102"/>
      <c r="K80" s="89"/>
      <c r="L80" s="89"/>
      <c r="M80" s="205"/>
      <c r="N80" s="205"/>
      <c r="O80" s="206"/>
      <c r="P80" s="206"/>
      <c r="Q80" s="210" t="s">
        <v>114</v>
      </c>
      <c r="T80" s="208"/>
      <c r="U80" s="208"/>
      <c r="V80" s="208"/>
      <c r="W80" s="208"/>
      <c r="Z80" s="222"/>
      <c r="AA80" s="222"/>
      <c r="AB80" s="222"/>
      <c r="AC80" s="222"/>
      <c r="AD80" s="222"/>
      <c r="AE80" s="217"/>
      <c r="AF80" s="217"/>
      <c r="AG80" s="217"/>
    </row>
    <row r="81" spans="1:33" hidden="1" x14ac:dyDescent="0.2">
      <c r="A81" s="89"/>
      <c r="B81" s="89"/>
      <c r="C81" s="89"/>
      <c r="D81" s="89"/>
      <c r="E81" s="102"/>
      <c r="F81" s="102"/>
      <c r="G81" s="102"/>
      <c r="H81" s="102"/>
      <c r="I81" s="102"/>
      <c r="J81" s="102"/>
      <c r="K81" s="89"/>
      <c r="L81" s="89"/>
      <c r="M81" s="205"/>
      <c r="N81" s="205"/>
      <c r="O81" s="206"/>
      <c r="P81" s="206"/>
      <c r="T81" s="208"/>
      <c r="U81" s="208"/>
      <c r="V81" s="208"/>
      <c r="W81" s="208"/>
      <c r="Z81" s="222"/>
      <c r="AA81" s="222"/>
      <c r="AB81" s="222"/>
      <c r="AC81" s="222"/>
      <c r="AD81" s="222"/>
      <c r="AE81" s="217"/>
      <c r="AF81" s="217"/>
      <c r="AG81" s="217"/>
    </row>
    <row r="82" spans="1:33" hidden="1" x14ac:dyDescent="0.2">
      <c r="A82" s="89"/>
      <c r="B82" s="89"/>
      <c r="C82" s="89"/>
      <c r="D82" s="89"/>
      <c r="E82" s="102"/>
      <c r="F82" s="102"/>
      <c r="G82" s="102"/>
      <c r="H82" s="102"/>
      <c r="I82" s="102"/>
      <c r="J82" s="102"/>
      <c r="K82" s="89"/>
      <c r="L82" s="89"/>
      <c r="M82" s="205"/>
      <c r="N82" s="205"/>
      <c r="O82" s="206"/>
      <c r="P82" s="206"/>
      <c r="T82" s="208"/>
      <c r="U82" s="208"/>
      <c r="V82" s="208"/>
      <c r="W82" s="208"/>
      <c r="Z82" s="222"/>
      <c r="AA82" s="222"/>
      <c r="AB82" s="222"/>
      <c r="AC82" s="222"/>
      <c r="AD82" s="222"/>
      <c r="AE82" s="217"/>
      <c r="AF82" s="217"/>
      <c r="AG82" s="217"/>
    </row>
    <row r="83" spans="1:33" hidden="1" x14ac:dyDescent="0.2">
      <c r="A83" s="89"/>
      <c r="B83" s="89"/>
      <c r="C83" s="89"/>
      <c r="D83" s="89"/>
      <c r="E83" s="102"/>
      <c r="F83" s="102"/>
      <c r="G83" s="102"/>
      <c r="H83" s="102"/>
      <c r="I83" s="102"/>
      <c r="J83" s="102"/>
      <c r="K83" s="89"/>
      <c r="L83" s="89"/>
      <c r="M83" s="205"/>
      <c r="N83" s="205"/>
      <c r="O83" s="206"/>
      <c r="P83" s="206"/>
      <c r="Q83" s="210" t="e">
        <f>IF(Q$111=100,(Q99),IF(R$111=100,(R99),IF(S$111=100,(S99),IF(T$111=100,(T99),IF(U$111=100,(U99),IF(V$111=100,(V99),IF(W$111=100,(W99),(W99))))))))</f>
        <v>#VALUE!</v>
      </c>
      <c r="R83" s="210" t="s">
        <v>124</v>
      </c>
      <c r="T83" s="208"/>
      <c r="U83" s="208"/>
      <c r="V83" s="208"/>
      <c r="W83" s="208"/>
      <c r="Z83" s="222"/>
      <c r="AA83" s="222"/>
      <c r="AB83" s="222"/>
      <c r="AC83" s="222"/>
      <c r="AD83" s="222"/>
      <c r="AE83" s="217"/>
      <c r="AF83" s="217"/>
      <c r="AG83" s="217"/>
    </row>
    <row r="84" spans="1:33" hidden="1" x14ac:dyDescent="0.2">
      <c r="A84" s="89"/>
      <c r="B84" s="89"/>
      <c r="C84" s="89"/>
      <c r="D84" s="89"/>
      <c r="E84" s="102"/>
      <c r="F84" s="102"/>
      <c r="G84" s="102"/>
      <c r="H84" s="102"/>
      <c r="I84" s="102"/>
      <c r="J84" s="102"/>
      <c r="K84" s="89"/>
      <c r="L84" s="89"/>
      <c r="M84" s="205"/>
      <c r="N84" s="205"/>
      <c r="O84" s="206"/>
      <c r="P84" s="206"/>
      <c r="Q84" s="210" t="e">
        <f t="shared" ref="Q84:Q94" si="34">IF(Q$111=100,(Q100),IF(R$111=100,(R100),IF(S$111=100,(S100),IF(T$111=100,(T100),IF(U$111=100,(U100),IF(V$111=100,(V100),IF(W$111=100,(W100),(W100))))))))</f>
        <v>#VALUE!</v>
      </c>
      <c r="R84" s="210" t="s">
        <v>125</v>
      </c>
      <c r="T84" s="208"/>
      <c r="U84" s="208"/>
      <c r="V84" s="208"/>
      <c r="W84" s="208"/>
      <c r="Z84" s="222"/>
      <c r="AA84" s="222"/>
      <c r="AB84" s="222"/>
      <c r="AC84" s="222"/>
      <c r="AD84" s="222"/>
      <c r="AE84" s="217"/>
      <c r="AF84" s="217"/>
      <c r="AG84" s="217"/>
    </row>
    <row r="85" spans="1:33" ht="15.75" thickBot="1" x14ac:dyDescent="0.25">
      <c r="A85" s="89"/>
      <c r="B85" s="89"/>
      <c r="C85" s="89"/>
      <c r="D85" s="89"/>
      <c r="E85" s="102"/>
      <c r="F85" s="102"/>
      <c r="G85" s="102"/>
      <c r="H85" s="102"/>
      <c r="I85" s="102"/>
      <c r="J85" s="102"/>
      <c r="K85" s="89"/>
      <c r="L85" s="89"/>
      <c r="M85" s="205"/>
      <c r="N85" s="205"/>
      <c r="O85" s="206"/>
      <c r="P85" s="206"/>
      <c r="Q85" s="210" t="e">
        <f t="shared" si="34"/>
        <v>#VALUE!</v>
      </c>
      <c r="R85" s="210" t="e">
        <f>LARGE(Q$99:Q$110,1)</f>
        <v>#VALUE!</v>
      </c>
      <c r="S85" s="210" t="e">
        <f>IF(Q111&lt;100,(R85+0.1),IF(Q111&gt;100,(R85-0.1),R85))</f>
        <v>#VALUE!</v>
      </c>
      <c r="T85" s="208"/>
      <c r="U85" s="208"/>
      <c r="V85" s="208"/>
      <c r="W85" s="208"/>
      <c r="Z85" s="222"/>
      <c r="AA85" s="222"/>
      <c r="AB85" s="222"/>
      <c r="AC85" s="222"/>
      <c r="AD85" s="222"/>
      <c r="AE85" s="217"/>
      <c r="AF85" s="217"/>
      <c r="AG85" s="217"/>
    </row>
    <row r="86" spans="1:33" ht="15.75" thickBot="1" x14ac:dyDescent="0.25">
      <c r="A86" s="152"/>
      <c r="B86" s="153" t="s">
        <v>151</v>
      </c>
      <c r="C86" s="154"/>
      <c r="D86" s="154"/>
      <c r="E86" s="155"/>
      <c r="F86" s="18" t="s">
        <v>81</v>
      </c>
      <c r="G86" s="19"/>
      <c r="H86" s="20" t="s">
        <v>82</v>
      </c>
      <c r="I86" s="21"/>
      <c r="J86" s="156"/>
      <c r="K86" s="157"/>
      <c r="L86" s="152"/>
      <c r="M86" s="213"/>
      <c r="N86" s="214"/>
      <c r="O86" s="215"/>
      <c r="P86" s="215"/>
      <c r="Q86" s="210" t="e">
        <f t="shared" si="34"/>
        <v>#VALUE!</v>
      </c>
      <c r="R86" s="210" t="e">
        <f>LARGE(Q$99:Q$110,2)</f>
        <v>#VALUE!</v>
      </c>
      <c r="S86" s="210" t="e">
        <f>IF(R111&lt;100,(R86+0.1),IF(R111&gt;100,(R86-0.1),R86))</f>
        <v>#VALUE!</v>
      </c>
      <c r="T86" s="208"/>
      <c r="U86" s="208"/>
      <c r="V86" s="208"/>
      <c r="W86" s="208"/>
      <c r="Z86" s="222"/>
      <c r="AA86" s="222"/>
      <c r="AB86" s="222"/>
      <c r="AC86" s="222"/>
      <c r="AD86" s="222"/>
      <c r="AE86" s="217"/>
      <c r="AF86" s="217"/>
      <c r="AG86" s="217"/>
    </row>
    <row r="87" spans="1:33" x14ac:dyDescent="0.2">
      <c r="A87" s="152"/>
      <c r="B87" s="161"/>
      <c r="C87" s="162"/>
      <c r="D87" s="163" t="s">
        <v>90</v>
      </c>
      <c r="E87" s="164"/>
      <c r="F87" s="165"/>
      <c r="G87" s="166"/>
      <c r="H87" s="166"/>
      <c r="I87" s="167"/>
      <c r="J87" s="167"/>
      <c r="K87" s="165"/>
      <c r="L87" s="157"/>
      <c r="M87" s="214"/>
      <c r="N87" s="214"/>
      <c r="O87" s="215"/>
      <c r="P87" s="215"/>
      <c r="Q87" s="210" t="e">
        <f t="shared" si="34"/>
        <v>#VALUE!</v>
      </c>
      <c r="R87" s="210" t="e">
        <f>LARGE(Q$99:Q$110,3)</f>
        <v>#VALUE!</v>
      </c>
      <c r="S87" s="210" t="e">
        <f>IF(S111&lt;100,(R87+0.1),IF(S111&gt;100,(R87-0.1),R87))</f>
        <v>#VALUE!</v>
      </c>
      <c r="T87" s="208"/>
      <c r="U87" s="208"/>
      <c r="V87" s="208"/>
      <c r="W87" s="208"/>
      <c r="Z87" s="222"/>
      <c r="AA87" s="222"/>
      <c r="AB87" s="222"/>
      <c r="AC87" s="222"/>
      <c r="AD87" s="222"/>
      <c r="AE87" s="217"/>
      <c r="AF87" s="217"/>
      <c r="AG87" s="217"/>
    </row>
    <row r="88" spans="1:33" ht="15.75" thickBot="1" x14ac:dyDescent="0.25">
      <c r="A88" s="152"/>
      <c r="B88" s="161"/>
      <c r="C88" s="162"/>
      <c r="D88" s="163" t="s">
        <v>93</v>
      </c>
      <c r="E88" s="168"/>
      <c r="F88" s="165"/>
      <c r="G88" s="120"/>
      <c r="H88" s="165" t="s">
        <v>130</v>
      </c>
      <c r="I88" s="167"/>
      <c r="J88" s="167"/>
      <c r="K88" s="165"/>
      <c r="L88" s="152"/>
      <c r="M88" s="214"/>
      <c r="N88" s="214"/>
      <c r="O88" s="215"/>
      <c r="P88" s="215"/>
      <c r="Q88" s="210" t="e">
        <f t="shared" si="34"/>
        <v>#VALUE!</v>
      </c>
      <c r="R88" s="210" t="e">
        <f>LARGE(Q$99:Q$110,4)</f>
        <v>#VALUE!</v>
      </c>
      <c r="S88" s="210" t="e">
        <f>IF(T111&lt;100,(R88+0.1),IF(T111&gt;100,(R88-0.1),R88))</f>
        <v>#VALUE!</v>
      </c>
      <c r="T88" s="208"/>
      <c r="U88" s="208"/>
      <c r="V88" s="208"/>
      <c r="W88" s="208"/>
      <c r="Z88" s="222"/>
      <c r="AA88" s="222"/>
      <c r="AB88" s="222"/>
      <c r="AC88" s="222"/>
      <c r="AD88" s="222"/>
      <c r="AE88" s="217"/>
      <c r="AF88" s="217"/>
      <c r="AG88" s="217"/>
    </row>
    <row r="89" spans="1:33" x14ac:dyDescent="0.2">
      <c r="A89" s="152"/>
      <c r="B89" s="161"/>
      <c r="C89" s="162"/>
      <c r="D89" s="163" t="s">
        <v>131</v>
      </c>
      <c r="E89" s="121"/>
      <c r="F89" s="165"/>
      <c r="G89" s="165"/>
      <c r="H89" s="165" t="s">
        <v>132</v>
      </c>
      <c r="I89" s="167"/>
      <c r="J89" s="167"/>
      <c r="K89" s="165"/>
      <c r="L89" s="152"/>
      <c r="M89" s="214"/>
      <c r="N89" s="214"/>
      <c r="O89" s="215"/>
      <c r="P89" s="215"/>
      <c r="Q89" s="210" t="e">
        <f t="shared" si="34"/>
        <v>#VALUE!</v>
      </c>
      <c r="R89" s="210" t="e">
        <f>LARGE(Q$99:Q$110,5)</f>
        <v>#VALUE!</v>
      </c>
      <c r="S89" s="210" t="e">
        <f>IF(U111&lt;100,(R89+0.1),IF(U111&gt;100,(R89-0.1),R89))</f>
        <v>#VALUE!</v>
      </c>
      <c r="Z89" s="222"/>
      <c r="AA89" s="222"/>
      <c r="AB89" s="222"/>
      <c r="AC89" s="222"/>
      <c r="AD89" s="222"/>
      <c r="AE89" s="217"/>
      <c r="AF89" s="217"/>
      <c r="AG89" s="217"/>
    </row>
    <row r="90" spans="1:33" x14ac:dyDescent="0.2">
      <c r="A90" s="152"/>
      <c r="B90" s="161"/>
      <c r="C90" s="169"/>
      <c r="D90" s="163" t="s">
        <v>133</v>
      </c>
      <c r="E90" s="121"/>
      <c r="F90" s="165"/>
      <c r="G90" s="166"/>
      <c r="H90" s="166"/>
      <c r="I90" s="167"/>
      <c r="J90" s="167"/>
      <c r="K90" s="165"/>
      <c r="L90" s="152"/>
      <c r="M90" s="214"/>
      <c r="N90" s="214"/>
      <c r="O90" s="215"/>
      <c r="P90" s="215"/>
      <c r="Q90" s="210" t="e">
        <f t="shared" si="34"/>
        <v>#VALUE!</v>
      </c>
      <c r="R90" s="210" t="e">
        <f>LARGE(Q$99:Q$110,6)</f>
        <v>#VALUE!</v>
      </c>
      <c r="S90" s="210" t="e">
        <f>IF(V111&lt;100,(R90+0.1),IF(V111&gt;100,(R90-0.1),R90))</f>
        <v>#VALUE!</v>
      </c>
      <c r="Z90" s="222"/>
      <c r="AA90" s="222"/>
      <c r="AB90" s="222"/>
      <c r="AC90" s="222"/>
      <c r="AD90" s="222"/>
      <c r="AE90" s="217"/>
      <c r="AF90" s="217"/>
      <c r="AG90" s="217"/>
    </row>
    <row r="91" spans="1:33" ht="15.75" thickBot="1" x14ac:dyDescent="0.25">
      <c r="A91" s="152"/>
      <c r="B91" s="170"/>
      <c r="C91" s="171" t="s">
        <v>99</v>
      </c>
      <c r="D91" s="172"/>
      <c r="E91" s="173" t="str">
        <f>IF(E90="","",ROUND(SUM(E89/E90),4))</f>
        <v/>
      </c>
      <c r="F91" s="165"/>
      <c r="G91" s="165"/>
      <c r="H91" s="165"/>
      <c r="I91" s="165"/>
      <c r="J91" s="165"/>
      <c r="K91" s="165"/>
      <c r="L91" s="152"/>
      <c r="M91" s="214"/>
      <c r="N91" s="214"/>
      <c r="O91" s="215"/>
      <c r="P91" s="215"/>
      <c r="Q91" s="210" t="e">
        <f t="shared" si="34"/>
        <v>#VALUE!</v>
      </c>
      <c r="R91" s="208"/>
      <c r="S91" s="208"/>
      <c r="U91" s="208"/>
      <c r="V91" s="208"/>
      <c r="W91" s="208"/>
      <c r="Z91" s="222"/>
      <c r="AA91" s="222"/>
      <c r="AB91" s="222"/>
      <c r="AC91" s="222"/>
      <c r="AD91" s="222"/>
      <c r="AE91" s="217"/>
      <c r="AF91" s="217"/>
      <c r="AG91" s="217"/>
    </row>
    <row r="92" spans="1:33" x14ac:dyDescent="0.2">
      <c r="A92" s="152"/>
      <c r="B92" s="341"/>
      <c r="C92" s="342"/>
      <c r="D92" s="54" t="s">
        <v>101</v>
      </c>
      <c r="E92" s="54" t="s">
        <v>102</v>
      </c>
      <c r="F92" s="174" t="s">
        <v>57</v>
      </c>
      <c r="G92" s="174" t="s">
        <v>57</v>
      </c>
      <c r="H92" s="175" t="s">
        <v>103</v>
      </c>
      <c r="I92" s="176"/>
      <c r="J92" s="176"/>
      <c r="K92" s="157"/>
      <c r="L92" s="152"/>
      <c r="M92" s="214"/>
      <c r="N92" s="214"/>
      <c r="O92" s="215"/>
      <c r="P92" s="215"/>
      <c r="Q92" s="210" t="e">
        <f t="shared" si="34"/>
        <v>#VALUE!</v>
      </c>
      <c r="R92" s="208"/>
      <c r="U92" s="208"/>
      <c r="V92" s="208"/>
      <c r="W92" s="208"/>
      <c r="Z92" s="222"/>
      <c r="AA92" s="222"/>
      <c r="AB92" s="222"/>
      <c r="AC92" s="222"/>
      <c r="AD92" s="222"/>
      <c r="AE92" s="217"/>
      <c r="AF92" s="217"/>
      <c r="AG92" s="217"/>
    </row>
    <row r="93" spans="1:33" x14ac:dyDescent="0.2">
      <c r="A93" s="152"/>
      <c r="B93" s="343" t="s">
        <v>110</v>
      </c>
      <c r="C93" s="344"/>
      <c r="D93" s="59" t="s">
        <v>134</v>
      </c>
      <c r="E93" s="59" t="s">
        <v>111</v>
      </c>
      <c r="F93" s="59" t="s">
        <v>112</v>
      </c>
      <c r="G93" s="59" t="s">
        <v>113</v>
      </c>
      <c r="H93" s="177" t="s">
        <v>114</v>
      </c>
      <c r="I93" s="176"/>
      <c r="J93" s="176"/>
      <c r="K93" s="152"/>
      <c r="L93" s="152"/>
      <c r="M93" s="214"/>
      <c r="N93" s="214"/>
      <c r="O93" s="215"/>
      <c r="P93" s="215"/>
      <c r="Q93" s="210" t="e">
        <f t="shared" si="34"/>
        <v>#VALUE!</v>
      </c>
      <c r="R93" s="208"/>
      <c r="S93" s="208"/>
      <c r="U93" s="208"/>
      <c r="V93" s="208"/>
      <c r="W93" s="208"/>
      <c r="Z93" s="222"/>
      <c r="AA93" s="222"/>
      <c r="AB93" s="222"/>
      <c r="AC93" s="222"/>
      <c r="AD93" s="222"/>
      <c r="AE93" s="217"/>
      <c r="AF93" s="217"/>
      <c r="AG93" s="217"/>
    </row>
    <row r="94" spans="1:33" x14ac:dyDescent="0.2">
      <c r="A94" s="152"/>
      <c r="B94" s="178" t="s">
        <v>29</v>
      </c>
      <c r="C94" s="62" t="s">
        <v>135</v>
      </c>
      <c r="D94" s="63"/>
      <c r="E94" s="64"/>
      <c r="F94" s="67" t="str">
        <f>IF(OR(E$87="",E$88=""),"",IF(E94="",0,(Q98)))</f>
        <v/>
      </c>
      <c r="G94" s="67" t="str">
        <f>IF(F108="","",100)</f>
        <v/>
      </c>
      <c r="H94" s="179" t="str">
        <f>IF(G94="","",IF(G94&gt;9.9,ROUND(G94,0),ROUND(G94,1)))</f>
        <v/>
      </c>
      <c r="I94" s="180"/>
      <c r="J94" s="180"/>
      <c r="K94" s="152"/>
      <c r="L94" s="152"/>
      <c r="M94" s="214"/>
      <c r="N94" s="214"/>
      <c r="O94" s="215"/>
      <c r="P94" s="215"/>
      <c r="Q94" s="210" t="e">
        <f t="shared" si="34"/>
        <v>#VALUE!</v>
      </c>
      <c r="R94" s="208"/>
      <c r="S94" s="208"/>
      <c r="U94" s="208"/>
      <c r="V94" s="208"/>
      <c r="W94" s="208"/>
    </row>
    <row r="95" spans="1:33" x14ac:dyDescent="0.2">
      <c r="A95" s="152"/>
      <c r="B95" s="178" t="s">
        <v>136</v>
      </c>
      <c r="C95" s="62" t="s">
        <v>137</v>
      </c>
      <c r="D95" s="63"/>
      <c r="E95" s="64"/>
      <c r="F95" s="67" t="str">
        <f t="shared" ref="F95:F106" si="35">IF(OR(E$87="",E$88=""),"",IF(E95="",0,(Q99)))</f>
        <v/>
      </c>
      <c r="G95" s="67" t="str">
        <f>IF(G94="","",SUM(G94-F95))</f>
        <v/>
      </c>
      <c r="H95" s="179" t="str">
        <f>IF(G95="","",IF(G95&gt;9.9,ROUND(G95,0),ROUND(G95,1)))</f>
        <v/>
      </c>
      <c r="I95" s="180"/>
      <c r="J95" s="180"/>
      <c r="K95" s="152"/>
      <c r="L95" s="152"/>
      <c r="M95" s="214"/>
      <c r="N95" s="214"/>
      <c r="O95" s="215"/>
      <c r="P95" s="215"/>
      <c r="Q95" s="210" t="e">
        <f>SUM(Q81:Q94)</f>
        <v>#VALUE!</v>
      </c>
      <c r="T95" s="208"/>
      <c r="U95" s="208"/>
      <c r="V95" s="208"/>
      <c r="W95" s="208"/>
    </row>
    <row r="96" spans="1:33" x14ac:dyDescent="0.2">
      <c r="A96" s="152"/>
      <c r="B96" s="178" t="s">
        <v>31</v>
      </c>
      <c r="C96" s="62" t="s">
        <v>138</v>
      </c>
      <c r="D96" s="63"/>
      <c r="E96" s="64"/>
      <c r="F96" s="67" t="str">
        <f t="shared" si="35"/>
        <v/>
      </c>
      <c r="G96" s="67" t="str">
        <f t="shared" ref="G96:G103" si="36">IF(G95="","",SUM(G95-F96))</f>
        <v/>
      </c>
      <c r="H96" s="179" t="str">
        <f>IF(G96="","",IF(G96&gt;9.9,ROUND(G96,0),ROUND(G96,1)))</f>
        <v/>
      </c>
      <c r="I96" s="180"/>
      <c r="J96" s="180"/>
      <c r="K96" s="152"/>
      <c r="L96" s="152"/>
      <c r="M96" s="214"/>
      <c r="N96" s="214"/>
      <c r="O96" s="215"/>
      <c r="P96" s="215"/>
      <c r="Q96" s="210" t="s">
        <v>57</v>
      </c>
    </row>
    <row r="97" spans="1:23" x14ac:dyDescent="0.2">
      <c r="A97" s="152"/>
      <c r="B97" s="178" t="s">
        <v>32</v>
      </c>
      <c r="C97" s="62" t="s">
        <v>139</v>
      </c>
      <c r="D97" s="63"/>
      <c r="E97" s="64"/>
      <c r="F97" s="67" t="str">
        <f t="shared" si="35"/>
        <v/>
      </c>
      <c r="G97" s="67" t="str">
        <f t="shared" si="36"/>
        <v/>
      </c>
      <c r="H97" s="179" t="str">
        <f>IF(G97="","",IF(G97&gt;9.9,ROUND(G97,0),ROUND(G97,1)))</f>
        <v/>
      </c>
      <c r="I97" s="180"/>
      <c r="J97" s="180"/>
      <c r="K97" s="152"/>
      <c r="L97" s="152"/>
      <c r="M97" s="214"/>
      <c r="N97" s="214"/>
      <c r="O97" s="215"/>
      <c r="P97" s="215"/>
      <c r="Q97" s="210" t="s">
        <v>112</v>
      </c>
    </row>
    <row r="98" spans="1:23" x14ac:dyDescent="0.2">
      <c r="A98" s="152"/>
      <c r="B98" s="178" t="s">
        <v>33</v>
      </c>
      <c r="C98" s="62" t="s">
        <v>140</v>
      </c>
      <c r="D98" s="63"/>
      <c r="E98" s="64"/>
      <c r="F98" s="67" t="str">
        <f t="shared" si="35"/>
        <v/>
      </c>
      <c r="G98" s="67" t="str">
        <f t="shared" si="36"/>
        <v/>
      </c>
      <c r="H98" s="179" t="str">
        <f t="shared" ref="H98:H105" si="37">IF(G98="","",IF(G98&gt;9.9,ROUND(G98,0),ROUND(G98,1)))</f>
        <v/>
      </c>
      <c r="I98" s="180"/>
      <c r="J98" s="180"/>
      <c r="K98" s="152"/>
      <c r="L98" s="152"/>
      <c r="M98" s="214"/>
      <c r="N98" s="214"/>
      <c r="O98" s="215"/>
      <c r="P98" s="215"/>
      <c r="Q98" s="210" t="e">
        <f>ROUND(IF(E94="","",SUM(E94/$E$87)*100),1)</f>
        <v>#VALUE!</v>
      </c>
      <c r="R98" s="210" t="s">
        <v>120</v>
      </c>
      <c r="S98" s="210">
        <v>2</v>
      </c>
      <c r="T98" s="210" t="s">
        <v>121</v>
      </c>
      <c r="U98" s="210" t="s">
        <v>122</v>
      </c>
      <c r="V98" s="210" t="s">
        <v>123</v>
      </c>
      <c r="W98" s="210">
        <v>6</v>
      </c>
    </row>
    <row r="99" spans="1:23" x14ac:dyDescent="0.2">
      <c r="A99" s="152"/>
      <c r="B99" s="178" t="s">
        <v>141</v>
      </c>
      <c r="C99" s="62" t="s">
        <v>142</v>
      </c>
      <c r="D99" s="63"/>
      <c r="E99" s="64"/>
      <c r="F99" s="67" t="str">
        <f t="shared" si="35"/>
        <v/>
      </c>
      <c r="G99" s="67" t="str">
        <f t="shared" si="36"/>
        <v/>
      </c>
      <c r="H99" s="179" t="str">
        <f t="shared" si="37"/>
        <v/>
      </c>
      <c r="I99" s="180"/>
      <c r="J99" s="180"/>
      <c r="K99" s="152"/>
      <c r="L99" s="152"/>
      <c r="M99" s="214"/>
      <c r="N99" s="214"/>
      <c r="O99" s="215"/>
      <c r="P99" s="215"/>
      <c r="Q99" s="210" t="e">
        <f t="shared" ref="Q99:Q109" si="38">ROUND(IF(E95="","",SUM(E95/$E$87)*100),1)</f>
        <v>#VALUE!</v>
      </c>
      <c r="R99" s="210" t="e">
        <f>ROUND(IF(Q99=R$85,S$85,Q99),1)</f>
        <v>#VALUE!</v>
      </c>
      <c r="S99" s="210" t="e">
        <f>ROUND(IF(R99=R$86,S$86,R99),1)</f>
        <v>#VALUE!</v>
      </c>
      <c r="T99" s="210" t="e">
        <f>ROUND(IF(S99=R$87,S$87,S99),1)</f>
        <v>#VALUE!</v>
      </c>
      <c r="U99" s="210" t="e">
        <f>ROUND(IF(T99=R$88,S$88,T99),1)</f>
        <v>#VALUE!</v>
      </c>
      <c r="V99" s="210" t="e">
        <f>ROUND(IF(U99=R$89,S$89,U99),1)</f>
        <v>#VALUE!</v>
      </c>
      <c r="W99" s="210" t="e">
        <f>ROUND(IF(V99=R$90,S$90,V99),1)</f>
        <v>#VALUE!</v>
      </c>
    </row>
    <row r="100" spans="1:23" x14ac:dyDescent="0.2">
      <c r="A100" s="152"/>
      <c r="B100" s="178" t="s">
        <v>143</v>
      </c>
      <c r="C100" s="62" t="s">
        <v>144</v>
      </c>
      <c r="D100" s="181"/>
      <c r="E100" s="64"/>
      <c r="F100" s="67" t="str">
        <f t="shared" si="35"/>
        <v/>
      </c>
      <c r="G100" s="67" t="str">
        <f t="shared" si="36"/>
        <v/>
      </c>
      <c r="H100" s="179" t="str">
        <f t="shared" si="37"/>
        <v/>
      </c>
      <c r="I100" s="180"/>
      <c r="J100" s="180"/>
      <c r="K100" s="152"/>
      <c r="L100" s="152"/>
      <c r="M100" s="214"/>
      <c r="N100" s="214"/>
      <c r="O100" s="215"/>
      <c r="P100" s="215"/>
      <c r="Q100" s="210" t="e">
        <f t="shared" si="38"/>
        <v>#VALUE!</v>
      </c>
      <c r="R100" s="210" t="e">
        <f t="shared" ref="R100:R110" si="39">ROUND(IF(Q100=R$85,S$85,Q100),1)</f>
        <v>#VALUE!</v>
      </c>
      <c r="S100" s="210" t="e">
        <f t="shared" ref="S100:S110" si="40">ROUND(IF(R100=R$86,S$86,R100),1)</f>
        <v>#VALUE!</v>
      </c>
      <c r="T100" s="210" t="e">
        <f t="shared" ref="T100:T110" si="41">ROUND(IF(S100=R$87,S$87,S100),1)</f>
        <v>#VALUE!</v>
      </c>
      <c r="U100" s="210" t="e">
        <f t="shared" ref="U100:U110" si="42">ROUND(IF(T100=R$88,S$88,T100),1)</f>
        <v>#VALUE!</v>
      </c>
      <c r="V100" s="210" t="e">
        <f t="shared" ref="V100:V110" si="43">ROUND(IF(U100=R$89,S$89,U100),1)</f>
        <v>#VALUE!</v>
      </c>
      <c r="W100" s="210" t="e">
        <f t="shared" ref="W100:W110" si="44">ROUND(IF(V100=R$90,S$90,V100),1)</f>
        <v>#VALUE!</v>
      </c>
    </row>
    <row r="101" spans="1:23" x14ac:dyDescent="0.2">
      <c r="A101" s="152"/>
      <c r="B101" s="178" t="s">
        <v>145</v>
      </c>
      <c r="C101" s="62" t="s">
        <v>146</v>
      </c>
      <c r="D101" s="181"/>
      <c r="E101" s="64"/>
      <c r="F101" s="67" t="str">
        <f t="shared" si="35"/>
        <v/>
      </c>
      <c r="G101" s="67" t="str">
        <f t="shared" si="36"/>
        <v/>
      </c>
      <c r="H101" s="179" t="str">
        <f t="shared" si="37"/>
        <v/>
      </c>
      <c r="I101" s="180"/>
      <c r="J101" s="180"/>
      <c r="K101" s="152"/>
      <c r="L101" s="152"/>
      <c r="M101" s="214"/>
      <c r="N101" s="214"/>
      <c r="O101" s="215"/>
      <c r="P101" s="215"/>
      <c r="Q101" s="210" t="e">
        <f t="shared" si="38"/>
        <v>#VALUE!</v>
      </c>
      <c r="R101" s="210" t="e">
        <f t="shared" si="39"/>
        <v>#VALUE!</v>
      </c>
      <c r="S101" s="210" t="e">
        <f t="shared" si="40"/>
        <v>#VALUE!</v>
      </c>
      <c r="T101" s="210" t="e">
        <f t="shared" si="41"/>
        <v>#VALUE!</v>
      </c>
      <c r="U101" s="210" t="e">
        <f t="shared" si="42"/>
        <v>#VALUE!</v>
      </c>
      <c r="V101" s="210" t="e">
        <f t="shared" si="43"/>
        <v>#VALUE!</v>
      </c>
      <c r="W101" s="210" t="e">
        <f t="shared" si="44"/>
        <v>#VALUE!</v>
      </c>
    </row>
    <row r="102" spans="1:23" x14ac:dyDescent="0.2">
      <c r="A102" s="152"/>
      <c r="B102" s="178" t="s">
        <v>147</v>
      </c>
      <c r="C102" s="62" t="str">
        <f>"600 "&amp;CHAR(181)&amp;"m"</f>
        <v>600 µm</v>
      </c>
      <c r="D102" s="181"/>
      <c r="E102" s="64"/>
      <c r="F102" s="67" t="str">
        <f t="shared" si="35"/>
        <v/>
      </c>
      <c r="G102" s="67" t="str">
        <f t="shared" si="36"/>
        <v/>
      </c>
      <c r="H102" s="179" t="str">
        <f t="shared" si="37"/>
        <v/>
      </c>
      <c r="I102" s="180"/>
      <c r="J102" s="180"/>
      <c r="K102" s="152"/>
      <c r="L102" s="152"/>
      <c r="M102" s="214"/>
      <c r="N102" s="214"/>
      <c r="O102" s="215"/>
      <c r="P102" s="215"/>
      <c r="Q102" s="210" t="e">
        <f t="shared" si="38"/>
        <v>#VALUE!</v>
      </c>
      <c r="R102" s="210" t="e">
        <f t="shared" si="39"/>
        <v>#VALUE!</v>
      </c>
      <c r="S102" s="210" t="e">
        <f t="shared" si="40"/>
        <v>#VALUE!</v>
      </c>
      <c r="T102" s="210" t="e">
        <f t="shared" si="41"/>
        <v>#VALUE!</v>
      </c>
      <c r="U102" s="210" t="e">
        <f t="shared" si="42"/>
        <v>#VALUE!</v>
      </c>
      <c r="V102" s="210" t="e">
        <f t="shared" si="43"/>
        <v>#VALUE!</v>
      </c>
      <c r="W102" s="210" t="e">
        <f t="shared" si="44"/>
        <v>#VALUE!</v>
      </c>
    </row>
    <row r="103" spans="1:23" x14ac:dyDescent="0.2">
      <c r="A103" s="152"/>
      <c r="B103" s="178" t="s">
        <v>148</v>
      </c>
      <c r="C103" s="62" t="str">
        <f>"300 "&amp;CHAR(181)&amp;"m"</f>
        <v>300 µm</v>
      </c>
      <c r="D103" s="181"/>
      <c r="E103" s="64"/>
      <c r="F103" s="67" t="str">
        <f t="shared" si="35"/>
        <v/>
      </c>
      <c r="G103" s="67" t="str">
        <f t="shared" si="36"/>
        <v/>
      </c>
      <c r="H103" s="179" t="str">
        <f t="shared" si="37"/>
        <v/>
      </c>
      <c r="I103" s="180"/>
      <c r="J103" s="180"/>
      <c r="K103" s="152"/>
      <c r="L103" s="152"/>
      <c r="M103" s="214"/>
      <c r="N103" s="214"/>
      <c r="O103" s="215"/>
      <c r="P103" s="215"/>
      <c r="Q103" s="210" t="e">
        <f t="shared" si="38"/>
        <v>#VALUE!</v>
      </c>
      <c r="R103" s="210" t="e">
        <f t="shared" si="39"/>
        <v>#VALUE!</v>
      </c>
      <c r="S103" s="210" t="e">
        <f t="shared" si="40"/>
        <v>#VALUE!</v>
      </c>
      <c r="T103" s="210" t="e">
        <f t="shared" si="41"/>
        <v>#VALUE!</v>
      </c>
      <c r="U103" s="210" t="e">
        <f t="shared" si="42"/>
        <v>#VALUE!</v>
      </c>
      <c r="V103" s="210" t="e">
        <f t="shared" si="43"/>
        <v>#VALUE!</v>
      </c>
      <c r="W103" s="210" t="e">
        <f t="shared" si="44"/>
        <v>#VALUE!</v>
      </c>
    </row>
    <row r="104" spans="1:23" x14ac:dyDescent="0.2">
      <c r="A104" s="152"/>
      <c r="B104" s="178" t="s">
        <v>149</v>
      </c>
      <c r="C104" s="62" t="str">
        <f>"150 "&amp;CHAR(181)&amp;"m"</f>
        <v>150 µm</v>
      </c>
      <c r="D104" s="181"/>
      <c r="E104" s="64"/>
      <c r="F104" s="67" t="str">
        <f t="shared" si="35"/>
        <v/>
      </c>
      <c r="G104" s="67" t="str">
        <f>IF(G103="","",SUM(G103-F104))</f>
        <v/>
      </c>
      <c r="H104" s="179" t="str">
        <f t="shared" si="37"/>
        <v/>
      </c>
      <c r="I104" s="180"/>
      <c r="J104" s="180"/>
      <c r="K104" s="152"/>
      <c r="L104" s="152"/>
      <c r="M104" s="214"/>
      <c r="N104" s="214"/>
      <c r="O104" s="215"/>
      <c r="P104" s="215"/>
      <c r="Q104" s="210" t="e">
        <f t="shared" si="38"/>
        <v>#VALUE!</v>
      </c>
      <c r="R104" s="210" t="e">
        <f t="shared" si="39"/>
        <v>#VALUE!</v>
      </c>
      <c r="S104" s="210" t="e">
        <f t="shared" si="40"/>
        <v>#VALUE!</v>
      </c>
      <c r="T104" s="210" t="e">
        <f t="shared" si="41"/>
        <v>#VALUE!</v>
      </c>
      <c r="U104" s="210" t="e">
        <f t="shared" si="42"/>
        <v>#VALUE!</v>
      </c>
      <c r="V104" s="210" t="e">
        <f t="shared" si="43"/>
        <v>#VALUE!</v>
      </c>
      <c r="W104" s="210" t="e">
        <f t="shared" si="44"/>
        <v>#VALUE!</v>
      </c>
    </row>
    <row r="105" spans="1:23" ht="15.75" thickBot="1" x14ac:dyDescent="0.25">
      <c r="A105" s="152"/>
      <c r="B105" s="178" t="s">
        <v>150</v>
      </c>
      <c r="C105" s="62" t="str">
        <f>"75 "&amp;CHAR(181)&amp;"m"</f>
        <v>75 µm</v>
      </c>
      <c r="D105" s="181"/>
      <c r="E105" s="64"/>
      <c r="F105" s="67" t="str">
        <f t="shared" si="35"/>
        <v/>
      </c>
      <c r="G105" s="182" t="str">
        <f>IF(G104="","",SUM(G104-F105))</f>
        <v/>
      </c>
      <c r="H105" s="183" t="str">
        <f t="shared" si="37"/>
        <v/>
      </c>
      <c r="I105" s="180"/>
      <c r="J105" s="180"/>
      <c r="K105" s="152"/>
      <c r="L105" s="152"/>
      <c r="M105" s="214"/>
      <c r="N105" s="214"/>
      <c r="O105" s="215"/>
      <c r="P105" s="215"/>
      <c r="Q105" s="210" t="e">
        <f t="shared" si="38"/>
        <v>#VALUE!</v>
      </c>
      <c r="R105" s="210" t="e">
        <f t="shared" si="39"/>
        <v>#VALUE!</v>
      </c>
      <c r="S105" s="210" t="e">
        <f t="shared" si="40"/>
        <v>#VALUE!</v>
      </c>
      <c r="T105" s="210" t="e">
        <f t="shared" si="41"/>
        <v>#VALUE!</v>
      </c>
      <c r="U105" s="210" t="e">
        <f t="shared" si="42"/>
        <v>#VALUE!</v>
      </c>
      <c r="V105" s="210" t="e">
        <f t="shared" si="43"/>
        <v>#VALUE!</v>
      </c>
      <c r="W105" s="210" t="e">
        <f t="shared" si="44"/>
        <v>#VALUE!</v>
      </c>
    </row>
    <row r="106" spans="1:23" ht="15.75" thickBot="1" x14ac:dyDescent="0.25">
      <c r="A106" s="152"/>
      <c r="B106" s="345" t="s">
        <v>126</v>
      </c>
      <c r="C106" s="346"/>
      <c r="D106" s="181"/>
      <c r="E106" s="64"/>
      <c r="F106" s="67" t="str">
        <f t="shared" si="35"/>
        <v/>
      </c>
      <c r="G106" s="184"/>
      <c r="H106" s="184"/>
      <c r="I106" s="185"/>
      <c r="J106" s="185"/>
      <c r="K106" s="152"/>
      <c r="L106" s="152"/>
      <c r="M106" s="214"/>
      <c r="N106" s="214"/>
      <c r="O106" s="215"/>
      <c r="P106" s="215"/>
      <c r="Q106" s="210" t="e">
        <f t="shared" si="38"/>
        <v>#VALUE!</v>
      </c>
      <c r="R106" s="210" t="e">
        <f t="shared" si="39"/>
        <v>#VALUE!</v>
      </c>
      <c r="S106" s="210" t="e">
        <f t="shared" si="40"/>
        <v>#VALUE!</v>
      </c>
      <c r="T106" s="210" t="e">
        <f t="shared" si="41"/>
        <v>#VALUE!</v>
      </c>
      <c r="U106" s="210" t="e">
        <f t="shared" si="42"/>
        <v>#VALUE!</v>
      </c>
      <c r="V106" s="210" t="e">
        <f t="shared" si="43"/>
        <v>#VALUE!</v>
      </c>
      <c r="W106" s="210" t="e">
        <f t="shared" si="44"/>
        <v>#VALUE!</v>
      </c>
    </row>
    <row r="107" spans="1:23" ht="15.75" thickBot="1" x14ac:dyDescent="0.25">
      <c r="A107" s="152"/>
      <c r="B107" s="345" t="s">
        <v>127</v>
      </c>
      <c r="C107" s="346"/>
      <c r="D107" s="63"/>
      <c r="E107" s="186" t="str">
        <f>IF(E88="","",SUM(E87-E88))</f>
        <v/>
      </c>
      <c r="F107" s="187"/>
      <c r="G107" s="184"/>
      <c r="H107" s="157"/>
      <c r="I107" s="157"/>
      <c r="J107" s="157"/>
      <c r="K107" s="152"/>
      <c r="L107" s="152"/>
      <c r="M107" s="214"/>
      <c r="N107" s="214"/>
      <c r="O107" s="215"/>
      <c r="P107" s="215"/>
      <c r="Q107" s="210" t="e">
        <f t="shared" si="38"/>
        <v>#VALUE!</v>
      </c>
      <c r="R107" s="210" t="e">
        <f t="shared" si="39"/>
        <v>#VALUE!</v>
      </c>
      <c r="S107" s="210" t="e">
        <f t="shared" si="40"/>
        <v>#VALUE!</v>
      </c>
      <c r="T107" s="210" t="e">
        <f t="shared" si="41"/>
        <v>#VALUE!</v>
      </c>
      <c r="U107" s="210" t="e">
        <f t="shared" si="42"/>
        <v>#VALUE!</v>
      </c>
      <c r="V107" s="210" t="e">
        <f t="shared" si="43"/>
        <v>#VALUE!</v>
      </c>
      <c r="W107" s="210" t="e">
        <f t="shared" si="44"/>
        <v>#VALUE!</v>
      </c>
    </row>
    <row r="108" spans="1:23" ht="15.75" thickBot="1" x14ac:dyDescent="0.25">
      <c r="A108" s="152"/>
      <c r="B108" s="345" t="s">
        <v>128</v>
      </c>
      <c r="C108" s="346"/>
      <c r="D108" s="188" t="str">
        <f>IF(D106="","",SUM(D100:D106))</f>
        <v/>
      </c>
      <c r="E108" s="188" t="str">
        <f>IF(E106="","",SUM(E94:E107))</f>
        <v/>
      </c>
      <c r="F108" s="189" t="str">
        <f>IF(F106="","",SUM(F94:F106))</f>
        <v/>
      </c>
      <c r="G108" s="190"/>
      <c r="H108" s="157"/>
      <c r="I108" s="157"/>
      <c r="J108" s="157"/>
      <c r="K108" s="157"/>
      <c r="L108" s="152"/>
      <c r="M108" s="214"/>
      <c r="N108" s="214"/>
      <c r="O108" s="215"/>
      <c r="P108" s="215"/>
      <c r="Q108" s="210" t="e">
        <f t="shared" si="38"/>
        <v>#VALUE!</v>
      </c>
      <c r="R108" s="210" t="e">
        <f t="shared" si="39"/>
        <v>#VALUE!</v>
      </c>
      <c r="S108" s="210" t="e">
        <f t="shared" si="40"/>
        <v>#VALUE!</v>
      </c>
      <c r="T108" s="210" t="e">
        <f t="shared" si="41"/>
        <v>#VALUE!</v>
      </c>
      <c r="U108" s="210" t="e">
        <f t="shared" si="42"/>
        <v>#VALUE!</v>
      </c>
      <c r="V108" s="210" t="e">
        <f t="shared" si="43"/>
        <v>#VALUE!</v>
      </c>
      <c r="W108" s="210" t="e">
        <f t="shared" si="44"/>
        <v>#VALUE!</v>
      </c>
    </row>
    <row r="109" spans="1:23" ht="15.75" thickBot="1" x14ac:dyDescent="0.25">
      <c r="A109" s="152"/>
      <c r="B109" s="336" t="s">
        <v>129</v>
      </c>
      <c r="C109" s="337"/>
      <c r="D109" s="182" t="str">
        <f>IF(D108="","",ROUND((SUM(D108/E90)*100),1))</f>
        <v/>
      </c>
      <c r="E109" s="191" t="str">
        <f>IF(E108="","",ROUND((SUM(E108/E87)*100),1))</f>
        <v/>
      </c>
      <c r="F109" s="192"/>
      <c r="G109" s="157"/>
      <c r="H109" s="157"/>
      <c r="I109" s="157"/>
      <c r="J109" s="157"/>
      <c r="K109" s="157"/>
      <c r="L109" s="152"/>
      <c r="M109" s="214"/>
      <c r="N109" s="214"/>
      <c r="O109" s="215"/>
      <c r="P109" s="215"/>
      <c r="Q109" s="210" t="e">
        <f t="shared" si="38"/>
        <v>#VALUE!</v>
      </c>
      <c r="R109" s="210" t="e">
        <f t="shared" si="39"/>
        <v>#VALUE!</v>
      </c>
      <c r="S109" s="210" t="e">
        <f t="shared" si="40"/>
        <v>#VALUE!</v>
      </c>
      <c r="T109" s="210" t="e">
        <f t="shared" si="41"/>
        <v>#VALUE!</v>
      </c>
      <c r="U109" s="210" t="e">
        <f t="shared" si="42"/>
        <v>#VALUE!</v>
      </c>
      <c r="V109" s="210" t="e">
        <f t="shared" si="43"/>
        <v>#VALUE!</v>
      </c>
      <c r="W109" s="210" t="e">
        <f t="shared" si="44"/>
        <v>#VALUE!</v>
      </c>
    </row>
    <row r="110" spans="1:23" x14ac:dyDescent="0.2">
      <c r="A110" s="152"/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213"/>
      <c r="N110" s="214"/>
      <c r="O110" s="215"/>
      <c r="P110" s="215"/>
      <c r="Q110" s="210" t="e">
        <f>ROUND(IF(E106="","",SUM((E106+E107)/$E$87)*100),1)</f>
        <v>#VALUE!</v>
      </c>
      <c r="R110" s="210" t="e">
        <f t="shared" si="39"/>
        <v>#VALUE!</v>
      </c>
      <c r="S110" s="210" t="e">
        <f t="shared" si="40"/>
        <v>#VALUE!</v>
      </c>
      <c r="T110" s="210" t="e">
        <f t="shared" si="41"/>
        <v>#VALUE!</v>
      </c>
      <c r="U110" s="210" t="e">
        <f t="shared" si="42"/>
        <v>#VALUE!</v>
      </c>
      <c r="V110" s="210" t="e">
        <f t="shared" si="43"/>
        <v>#VALUE!</v>
      </c>
      <c r="W110" s="210" t="e">
        <f t="shared" si="44"/>
        <v>#VALUE!</v>
      </c>
    </row>
    <row r="111" spans="1:23" x14ac:dyDescent="0.2">
      <c r="A111" s="152"/>
      <c r="B111" s="152"/>
      <c r="C111" s="152"/>
      <c r="D111" s="152"/>
      <c r="E111" s="152"/>
      <c r="F111" s="152"/>
      <c r="G111" s="338"/>
      <c r="H111" s="338"/>
      <c r="I111" s="338"/>
      <c r="J111" s="338"/>
      <c r="K111" s="338"/>
      <c r="L111" s="152"/>
      <c r="M111" s="213"/>
      <c r="N111" s="214"/>
      <c r="O111" s="215"/>
      <c r="P111" s="215"/>
      <c r="Q111" s="210" t="e">
        <f>ROUND(SUM(Q98:Q110),1)</f>
        <v>#VALUE!</v>
      </c>
      <c r="R111" s="210" t="e">
        <f t="shared" ref="R111:W111" si="45">ROUND(IF(R110="","",SUM(R99:R110)),1)</f>
        <v>#VALUE!</v>
      </c>
      <c r="S111" s="210" t="e">
        <f t="shared" si="45"/>
        <v>#VALUE!</v>
      </c>
      <c r="T111" s="210" t="e">
        <f t="shared" si="45"/>
        <v>#VALUE!</v>
      </c>
      <c r="U111" s="210" t="e">
        <f t="shared" si="45"/>
        <v>#VALUE!</v>
      </c>
      <c r="V111" s="210" t="e">
        <f t="shared" si="45"/>
        <v>#VALUE!</v>
      </c>
      <c r="W111" s="210" t="e">
        <f t="shared" si="45"/>
        <v>#VALUE!</v>
      </c>
    </row>
    <row r="112" spans="1:23" x14ac:dyDescent="0.2">
      <c r="A112" s="152"/>
      <c r="B112" s="152"/>
      <c r="C112" s="152"/>
      <c r="D112" s="152"/>
      <c r="E112" s="152"/>
      <c r="F112" s="152"/>
      <c r="G112" s="338"/>
      <c r="H112" s="338"/>
      <c r="I112" s="338"/>
      <c r="J112" s="338"/>
      <c r="K112" s="338"/>
      <c r="L112" s="152"/>
      <c r="M112" s="214"/>
      <c r="N112" s="214"/>
      <c r="O112" s="215"/>
      <c r="P112" s="215"/>
      <c r="Q112" s="208"/>
      <c r="R112" s="208"/>
      <c r="S112" s="208"/>
      <c r="T112" s="208"/>
      <c r="U112" s="208"/>
      <c r="V112" s="208"/>
      <c r="W112" s="208"/>
    </row>
  </sheetData>
  <sheetProtection algorithmName="SHA-512" hashValue="JFv/TjoJFHSEiVBB+POjOjNNN68scbF2kBRbDiyysTpmOQunvxfPtROe7cQsVmMg2se3pqTjopHtx3JLPviwqg==" saltValue="9ydTsd2mRvG1tcNeKHB2BQ==" spinCount="100000" sheet="1" objects="1" scenarios="1"/>
  <mergeCells count="20">
    <mergeCell ref="B109:C109"/>
    <mergeCell ref="G111:K112"/>
    <mergeCell ref="B58:C58"/>
    <mergeCell ref="B92:C92"/>
    <mergeCell ref="B93:C93"/>
    <mergeCell ref="B106:C106"/>
    <mergeCell ref="B107:C107"/>
    <mergeCell ref="B108:C108"/>
    <mergeCell ref="B57:C57"/>
    <mergeCell ref="A1:E1"/>
    <mergeCell ref="I3:K3"/>
    <mergeCell ref="I4:K4"/>
    <mergeCell ref="I5:K5"/>
    <mergeCell ref="I6:K6"/>
    <mergeCell ref="B31:C31"/>
    <mergeCell ref="B32:C32"/>
    <mergeCell ref="B41:C41"/>
    <mergeCell ref="B42:C42"/>
    <mergeCell ref="B55:C55"/>
    <mergeCell ref="B56:C56"/>
  </mergeCells>
  <dataValidations count="2">
    <dataValidation type="list" allowBlank="1" showInputMessage="1" showErrorMessage="1" sqref="L1" xr:uid="{6E30F88F-BA57-4B0C-A372-F3D344C24A72}">
      <formula1>$O$1:$O$2</formula1>
    </dataValidation>
    <dataValidation type="decimal" allowBlank="1" showInputMessage="1" showErrorMessage="1" error="Must be numerical" sqref="I9:I20" xr:uid="{A73DE199-2159-4581-8750-52A5C2C6622B}">
      <formula1>0</formula1>
      <formula2>100</formula2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96F3C-EA9F-4939-ADD5-35A9C6D2D820}">
  <dimension ref="A1:AF112"/>
  <sheetViews>
    <sheetView showRowColHeaders="0" workbookViewId="0">
      <selection activeCell="E4" sqref="E4"/>
    </sheetView>
  </sheetViews>
  <sheetFormatPr defaultRowHeight="15" x14ac:dyDescent="0.2"/>
  <cols>
    <col min="1" max="7" width="9.140625" style="27"/>
    <col min="8" max="8" width="12.85546875" style="27" customWidth="1"/>
    <col min="9" max="9" width="13.42578125" style="27" customWidth="1"/>
    <col min="10" max="10" width="12.7109375" style="27" customWidth="1"/>
    <col min="11" max="11" width="12.5703125" style="27" customWidth="1"/>
    <col min="12" max="12" width="9.140625" style="27"/>
    <col min="13" max="14" width="11.42578125" style="61" hidden="1" customWidth="1"/>
    <col min="15" max="30" width="11.42578125" style="207" hidden="1" customWidth="1"/>
    <col min="31" max="31" width="11.42578125" style="61" customWidth="1"/>
    <col min="32" max="16384" width="9.140625" style="27"/>
  </cols>
  <sheetData>
    <row r="1" spans="1:32" ht="16.5" thickBot="1" x14ac:dyDescent="0.3">
      <c r="A1" s="321" t="s">
        <v>80</v>
      </c>
      <c r="B1" s="322"/>
      <c r="C1" s="322"/>
      <c r="D1" s="322"/>
      <c r="E1" s="323"/>
      <c r="F1" s="18" t="s">
        <v>81</v>
      </c>
      <c r="G1" s="19"/>
      <c r="H1" s="20" t="s">
        <v>82</v>
      </c>
      <c r="I1" s="21"/>
      <c r="J1" s="22"/>
      <c r="K1" s="18" t="s">
        <v>83</v>
      </c>
      <c r="L1" s="19" t="s">
        <v>84</v>
      </c>
      <c r="M1" s="55"/>
      <c r="N1" s="55"/>
      <c r="O1" s="55" t="s">
        <v>84</v>
      </c>
      <c r="P1" s="55"/>
      <c r="Q1" s="55"/>
      <c r="R1" s="193"/>
      <c r="S1" s="193"/>
      <c r="T1" s="193"/>
      <c r="U1" s="193"/>
      <c r="V1" s="193"/>
      <c r="W1" s="193"/>
      <c r="X1" s="193"/>
      <c r="Y1" s="193"/>
      <c r="Z1" s="193" t="s">
        <v>85</v>
      </c>
      <c r="AA1" s="193" t="s">
        <v>86</v>
      </c>
      <c r="AB1" s="193" t="s">
        <v>87</v>
      </c>
      <c r="AC1" s="193" t="s">
        <v>88</v>
      </c>
      <c r="AD1" s="193" t="s">
        <v>89</v>
      </c>
    </row>
    <row r="2" spans="1:32" x14ac:dyDescent="0.2">
      <c r="A2" s="28" t="s">
        <v>90</v>
      </c>
      <c r="B2" s="29"/>
      <c r="C2" s="30"/>
      <c r="D2" s="31"/>
      <c r="E2" s="32"/>
      <c r="F2" s="32"/>
      <c r="G2" s="33"/>
      <c r="H2" s="31"/>
      <c r="I2" s="31"/>
      <c r="J2" s="31"/>
      <c r="K2" s="34"/>
      <c r="L2" s="34"/>
      <c r="M2" s="55"/>
      <c r="N2" s="55"/>
      <c r="O2" s="55" t="s">
        <v>91</v>
      </c>
      <c r="P2" s="74"/>
      <c r="Q2" s="74"/>
      <c r="R2" s="194"/>
      <c r="S2" s="194"/>
      <c r="T2" s="194"/>
      <c r="U2" s="194"/>
      <c r="V2" s="193"/>
      <c r="W2" s="193"/>
      <c r="X2" s="193" t="s">
        <v>92</v>
      </c>
      <c r="Y2" s="195">
        <f>(100-L3-L5)/100</f>
        <v>1</v>
      </c>
      <c r="Z2" s="196">
        <f>AA2/AA$5</f>
        <v>1</v>
      </c>
      <c r="AA2" s="195">
        <f>IF(AND(L3="",L5=""),100,Y2)</f>
        <v>100</v>
      </c>
      <c r="AB2" s="193"/>
      <c r="AC2" s="193"/>
      <c r="AD2" s="193"/>
    </row>
    <row r="3" spans="1:32" ht="15.75" thickBot="1" x14ac:dyDescent="0.25">
      <c r="A3" s="40" t="s">
        <v>93</v>
      </c>
      <c r="B3" s="41"/>
      <c r="C3" s="42"/>
      <c r="D3" s="31"/>
      <c r="E3" s="43"/>
      <c r="F3" s="31" t="s">
        <v>94</v>
      </c>
      <c r="G3" s="33"/>
      <c r="H3" s="31"/>
      <c r="I3" s="324" t="str">
        <f>CONCATENATE("% RAP Used (From ",MONTH(I1),"/",DAY(I1),"/",YEAR(I1)," Plant Report)")</f>
        <v>% RAP Used (From 1/0/1900 Plant Report)</v>
      </c>
      <c r="J3" s="325"/>
      <c r="K3" s="326"/>
      <c r="L3" s="44"/>
      <c r="M3" s="55"/>
      <c r="N3" s="55"/>
      <c r="O3" s="55"/>
      <c r="P3" s="74"/>
      <c r="Q3" s="74"/>
      <c r="R3" s="194"/>
      <c r="S3" s="194"/>
      <c r="T3" s="194"/>
      <c r="U3" s="194"/>
      <c r="V3" s="193"/>
      <c r="W3" s="193"/>
      <c r="X3" s="193" t="s">
        <v>95</v>
      </c>
      <c r="Y3" s="196">
        <f>L5/100</f>
        <v>0</v>
      </c>
      <c r="Z3" s="196">
        <f>AA3/AA$5</f>
        <v>0</v>
      </c>
      <c r="AA3" s="196">
        <f>Y3*AB3</f>
        <v>0</v>
      </c>
      <c r="AB3" s="196">
        <f>1-AC3-AD3-AE3</f>
        <v>0.9</v>
      </c>
      <c r="AC3" s="196">
        <f>L6*0.67/100</f>
        <v>0</v>
      </c>
      <c r="AD3" s="196">
        <f>0.1</f>
        <v>0.1</v>
      </c>
      <c r="AE3" s="197">
        <f>L6/100-AC3</f>
        <v>0</v>
      </c>
    </row>
    <row r="4" spans="1:32" x14ac:dyDescent="0.2">
      <c r="A4" s="46" t="str">
        <f>IF(L1="Metric","Total Minus 4.75mm (W1): ","Total Minus #4 (W1): ")</f>
        <v xml:space="preserve">Total Minus #4 (W1): </v>
      </c>
      <c r="B4" s="47"/>
      <c r="C4" s="48"/>
      <c r="D4" s="31"/>
      <c r="E4" s="31"/>
      <c r="F4" s="31" t="str">
        <f>IF(L1="Metric","(Using Box &amp; 203mm Sieves).","(Using Box &amp; 8 in. Sieves).")</f>
        <v>(Using Box &amp; 8 in. Sieves).</v>
      </c>
      <c r="G4" s="33"/>
      <c r="H4" s="31"/>
      <c r="I4" s="327" t="s">
        <v>96</v>
      </c>
      <c r="J4" s="327"/>
      <c r="K4" s="328"/>
      <c r="L4" s="44"/>
      <c r="M4" s="55"/>
      <c r="N4" s="55"/>
      <c r="O4" s="55"/>
      <c r="P4" s="74"/>
      <c r="Q4" s="74"/>
      <c r="R4" s="194"/>
      <c r="S4" s="194"/>
      <c r="T4" s="194"/>
      <c r="U4" s="194"/>
      <c r="V4" s="193"/>
      <c r="W4" s="193"/>
      <c r="X4" s="193" t="s">
        <v>97</v>
      </c>
      <c r="Y4" s="196">
        <f>L3/100</f>
        <v>0</v>
      </c>
      <c r="Z4" s="196">
        <f>AA4/AA$5</f>
        <v>0</v>
      </c>
      <c r="AA4" s="39">
        <f>Y4*AB4</f>
        <v>0</v>
      </c>
      <c r="AB4" s="39">
        <f>1-AC4</f>
        <v>1</v>
      </c>
      <c r="AC4" s="39">
        <f>L4/100</f>
        <v>0</v>
      </c>
      <c r="AD4" s="25"/>
      <c r="AE4" s="26"/>
      <c r="AF4" s="26"/>
    </row>
    <row r="5" spans="1:32" x14ac:dyDescent="0.2">
      <c r="A5" s="46" t="str">
        <f>IF(L1="Metric","Reduced Minus 4.75mm (W2): ","Reduced Minus #4 (W2): ")</f>
        <v xml:space="preserve">Reduced Minus #4 (W2): </v>
      </c>
      <c r="B5" s="47"/>
      <c r="C5" s="48"/>
      <c r="D5" s="31"/>
      <c r="E5" s="32"/>
      <c r="F5" s="32"/>
      <c r="G5" s="33"/>
      <c r="H5" s="31"/>
      <c r="I5" s="329" t="str">
        <f>CONCATENATE("% RAS Used (From ",MONTH(I1),"/",DAY(I1),"/",YEAR(I1)," Plant Report)")</f>
        <v>% RAS Used (From 1/0/1900 Plant Report)</v>
      </c>
      <c r="J5" s="329"/>
      <c r="K5" s="329"/>
      <c r="L5" s="49"/>
      <c r="M5" s="55"/>
      <c r="N5" s="55"/>
      <c r="O5" s="55"/>
      <c r="P5" s="74"/>
      <c r="Q5" s="74"/>
      <c r="R5" s="194"/>
      <c r="S5" s="194"/>
      <c r="T5" s="194"/>
      <c r="U5" s="194"/>
      <c r="V5" s="193"/>
      <c r="W5" s="193"/>
      <c r="X5" s="193" t="s">
        <v>98</v>
      </c>
      <c r="Y5" s="198">
        <f>Y4+Y3+Y2</f>
        <v>1</v>
      </c>
      <c r="Z5" s="196">
        <f>AA5/AA$5</f>
        <v>1</v>
      </c>
      <c r="AA5" s="39">
        <f>AA4+AA3+AA2</f>
        <v>100</v>
      </c>
      <c r="AB5" s="25"/>
      <c r="AC5" s="25"/>
      <c r="AD5" s="25"/>
      <c r="AE5" s="26"/>
      <c r="AF5" s="26"/>
    </row>
    <row r="6" spans="1:32" ht="15.75" thickBot="1" x14ac:dyDescent="0.25">
      <c r="A6" s="40" t="s">
        <v>99</v>
      </c>
      <c r="B6" s="41"/>
      <c r="C6" s="51" t="str">
        <f>IF(C5="","",ROUND(SUM(C4/C5),4))</f>
        <v/>
      </c>
      <c r="D6" s="31"/>
      <c r="E6" s="31"/>
      <c r="F6" s="31"/>
      <c r="G6" s="31"/>
      <c r="H6" s="31"/>
      <c r="I6" s="327" t="s">
        <v>100</v>
      </c>
      <c r="J6" s="327"/>
      <c r="K6" s="328"/>
      <c r="L6" s="49"/>
      <c r="M6" s="74"/>
      <c r="N6" s="74"/>
      <c r="O6" s="74"/>
      <c r="P6" s="74"/>
      <c r="Q6" s="74"/>
      <c r="R6" s="194"/>
      <c r="S6" s="194"/>
      <c r="T6" s="194"/>
      <c r="U6" s="194"/>
      <c r="V6" s="193"/>
      <c r="W6" s="193"/>
      <c r="X6" s="193"/>
      <c r="Y6" s="193"/>
      <c r="Z6" s="193"/>
      <c r="AA6" s="25"/>
      <c r="AB6" s="25"/>
      <c r="AC6" s="25"/>
      <c r="AD6" s="25"/>
      <c r="AE6" s="26"/>
      <c r="AF6" s="26"/>
    </row>
    <row r="7" spans="1:32" x14ac:dyDescent="0.2">
      <c r="A7" s="52"/>
      <c r="B7" s="53" t="s">
        <v>101</v>
      </c>
      <c r="C7" s="53" t="s">
        <v>102</v>
      </c>
      <c r="D7" s="53" t="s">
        <v>57</v>
      </c>
      <c r="E7" s="53" t="s">
        <v>57</v>
      </c>
      <c r="F7" s="53" t="s">
        <v>103</v>
      </c>
      <c r="G7" s="53" t="s">
        <v>104</v>
      </c>
      <c r="H7" s="53" t="s">
        <v>103</v>
      </c>
      <c r="I7" s="54" t="s">
        <v>97</v>
      </c>
      <c r="J7" s="54" t="s">
        <v>95</v>
      </c>
      <c r="K7" s="55"/>
      <c r="L7" s="55"/>
      <c r="M7" s="55"/>
      <c r="N7" s="55"/>
      <c r="O7" s="60" t="s">
        <v>57</v>
      </c>
      <c r="P7" s="55"/>
      <c r="Q7" s="55"/>
      <c r="R7" s="55"/>
      <c r="S7" s="193"/>
      <c r="T7" s="193"/>
      <c r="U7" s="193"/>
      <c r="V7" s="193"/>
      <c r="W7" s="200" t="s">
        <v>105</v>
      </c>
      <c r="X7" s="200" t="s">
        <v>106</v>
      </c>
      <c r="Y7" s="200" t="s">
        <v>97</v>
      </c>
      <c r="Z7" s="200" t="s">
        <v>107</v>
      </c>
      <c r="AA7" s="57" t="s">
        <v>108</v>
      </c>
      <c r="AB7" s="57" t="s">
        <v>95</v>
      </c>
      <c r="AC7" s="57" t="s">
        <v>109</v>
      </c>
      <c r="AD7" s="57" t="s">
        <v>109</v>
      </c>
      <c r="AE7" s="26"/>
      <c r="AF7" s="26"/>
    </row>
    <row r="8" spans="1:32" x14ac:dyDescent="0.2">
      <c r="A8" s="58" t="s">
        <v>110</v>
      </c>
      <c r="B8" s="59" t="str">
        <f>IF(L1="Metric","Minus 4.75","Minus #4")</f>
        <v>Minus #4</v>
      </c>
      <c r="C8" s="59" t="s">
        <v>111</v>
      </c>
      <c r="D8" s="59" t="s">
        <v>112</v>
      </c>
      <c r="E8" s="59" t="s">
        <v>113</v>
      </c>
      <c r="F8" s="59" t="s">
        <v>114</v>
      </c>
      <c r="G8" s="59" t="s">
        <v>115</v>
      </c>
      <c r="H8" s="59" t="s">
        <v>114</v>
      </c>
      <c r="I8" s="54" t="s">
        <v>116</v>
      </c>
      <c r="J8" s="54" t="s">
        <v>116</v>
      </c>
      <c r="K8" s="60" t="s">
        <v>114</v>
      </c>
      <c r="L8" s="55"/>
      <c r="M8" s="55"/>
      <c r="N8" s="55"/>
      <c r="O8" s="60" t="s">
        <v>112</v>
      </c>
      <c r="P8" s="55"/>
      <c r="Q8" s="55"/>
      <c r="R8" s="55"/>
      <c r="S8" s="193"/>
      <c r="T8" s="193"/>
      <c r="U8" s="193"/>
      <c r="V8" s="193"/>
      <c r="W8" s="200" t="s">
        <v>117</v>
      </c>
      <c r="X8" s="200" t="s">
        <v>118</v>
      </c>
      <c r="Y8" s="200" t="s">
        <v>119</v>
      </c>
      <c r="Z8" s="200" t="s">
        <v>117</v>
      </c>
      <c r="AA8" s="57" t="s">
        <v>118</v>
      </c>
      <c r="AB8" s="57" t="s">
        <v>119</v>
      </c>
      <c r="AC8" s="57" t="s">
        <v>117</v>
      </c>
      <c r="AD8" s="57" t="s">
        <v>118</v>
      </c>
      <c r="AE8" s="26"/>
      <c r="AF8" s="26"/>
    </row>
    <row r="9" spans="1:32" x14ac:dyDescent="0.2">
      <c r="A9" s="62" t="str">
        <f>IF(L1="Metric","37.5mm","1 1/2 in.")</f>
        <v>1 1/2 in.</v>
      </c>
      <c r="B9" s="63"/>
      <c r="C9" s="64"/>
      <c r="D9" s="65" t="str">
        <f>IF(OR(C$2="",C$3=""),"",IF(C9="",0,(O9)))</f>
        <v/>
      </c>
      <c r="E9" s="66" t="str">
        <f>IF(D23="","",100)</f>
        <v/>
      </c>
      <c r="F9" s="62" t="str">
        <f>IF(E9="","",IF(E9&gt;9.9,ROUND(E9,0),ROUND(E9,1)))</f>
        <v/>
      </c>
      <c r="G9" s="67" t="str">
        <f>IF(ISERROR(IF(AND(AA9="",AD9=""),0,SUM(X9,AA9,AD9))),"",IF(AND(AA9="",AD9=""),0,SUM(X9,AA9,AD9)))</f>
        <v/>
      </c>
      <c r="H9" s="68">
        <f>IF(F9="",0,IF(G9&gt;9.9,ROUND(G9,0),ROUND(G9,1)))</f>
        <v>0</v>
      </c>
      <c r="I9" s="69"/>
      <c r="J9" s="70" t="str">
        <f t="shared" ref="J9:J12" si="0">IF(L$6="","",100)</f>
        <v/>
      </c>
      <c r="K9" s="55"/>
      <c r="L9" s="55"/>
      <c r="M9" s="55"/>
      <c r="N9" s="55"/>
      <c r="O9" s="60" t="e">
        <f t="shared" ref="O9:O20" si="1">ROUND(IF(C9="","",SUM(C9/$C$2)*100),1)</f>
        <v>#VALUE!</v>
      </c>
      <c r="P9" s="60" t="s">
        <v>120</v>
      </c>
      <c r="Q9" s="60">
        <v>2</v>
      </c>
      <c r="R9" s="60" t="s">
        <v>121</v>
      </c>
      <c r="S9" s="200" t="s">
        <v>122</v>
      </c>
      <c r="T9" s="200" t="s">
        <v>123</v>
      </c>
      <c r="U9" s="200">
        <v>6</v>
      </c>
      <c r="V9" s="193"/>
      <c r="W9" s="200">
        <f>Z2*100</f>
        <v>100</v>
      </c>
      <c r="X9" s="200" t="e">
        <f t="shared" ref="X9:X20" si="2">ROUND(IF(W9="",0,SUM(F9*(W9/100))),1)</f>
        <v>#VALUE!</v>
      </c>
      <c r="Y9" s="201">
        <f>I9</f>
        <v>0</v>
      </c>
      <c r="Z9" s="200">
        <f>Z4*100</f>
        <v>0</v>
      </c>
      <c r="AA9" s="57">
        <f>ROUND(IF(Z9="",0,SUM(Y9*(Z9/100))),1)</f>
        <v>0</v>
      </c>
      <c r="AB9" s="223" t="str">
        <f>J9</f>
        <v/>
      </c>
      <c r="AC9" s="37">
        <f>Z3*100</f>
        <v>0</v>
      </c>
      <c r="AD9" s="25">
        <f t="shared" ref="AD9:AD20" si="3">ROUND(IF(AB9="",0,SUM(AB9*(AC9/100))),1)</f>
        <v>0</v>
      </c>
      <c r="AE9" s="26"/>
      <c r="AF9" s="26"/>
    </row>
    <row r="10" spans="1:32" x14ac:dyDescent="0.2">
      <c r="A10" s="62" t="str">
        <f>IF(L1="Metric","25mm","1 in.")</f>
        <v>1 in.</v>
      </c>
      <c r="B10" s="63"/>
      <c r="C10" s="64"/>
      <c r="D10" s="65" t="str">
        <f t="shared" ref="D10:D21" si="4">IF(OR(C$2="",C$3=""),"",IF(C10="",0,(O10)))</f>
        <v/>
      </c>
      <c r="E10" s="65" t="str">
        <f t="shared" ref="E10:E20" si="5">IF(E9="","",SUM(E9-D10))</f>
        <v/>
      </c>
      <c r="F10" s="62" t="str">
        <f t="shared" ref="F10:F20" si="6">IF(E10="","",IF(E10&gt;9.9,ROUND(E10,0),ROUND(E10,1)))</f>
        <v/>
      </c>
      <c r="G10" s="67" t="str">
        <f t="shared" ref="G10:G20" si="7">IF(ISERROR(IF(AND(AA10="",AD10=""),0,SUM(X10,AA10,AD10))),"",IF(AND(AA10="",AD10=""),0,SUM(X10,AA10,AD10)))</f>
        <v/>
      </c>
      <c r="H10" s="68">
        <f t="shared" ref="H10:H20" si="8">IF(F10="",0,IF(G10&gt;9.9,ROUND(G10,0),ROUND(G10,1)))</f>
        <v>0</v>
      </c>
      <c r="I10" s="69"/>
      <c r="J10" s="70" t="str">
        <f t="shared" si="0"/>
        <v/>
      </c>
      <c r="K10" s="60" t="e">
        <f>IF(O$22=100,(O10),IF(P$22=100,(P10),IF(Q$22=100,(Q10),IF(R$22=100,(R10),IF(S$22=100,(S10),IF(T$22=100,(T10),IF(U20=100,(U10),(U10))))))))</f>
        <v>#VALUE!</v>
      </c>
      <c r="L10" s="60" t="s">
        <v>124</v>
      </c>
      <c r="M10" s="55"/>
      <c r="N10" s="55"/>
      <c r="O10" s="60" t="e">
        <f t="shared" si="1"/>
        <v>#VALUE!</v>
      </c>
      <c r="P10" s="60" t="e">
        <f t="shared" ref="P10:P21" si="9">ROUND(IF(O10=L$12,M$12,O10),1)</f>
        <v>#VALUE!</v>
      </c>
      <c r="Q10" s="60" t="e">
        <f t="shared" ref="Q10:Q21" si="10">ROUND(IF(P10=L$13,M$13,P10),1)</f>
        <v>#VALUE!</v>
      </c>
      <c r="R10" s="60" t="e">
        <f t="shared" ref="R10:R21" si="11">ROUND(IF(Q10=L$14,M$14,Q10),1)</f>
        <v>#VALUE!</v>
      </c>
      <c r="S10" s="200" t="e">
        <f t="shared" ref="S10:S21" si="12">ROUND(IF(R10=L$15,M$15,R10),1)</f>
        <v>#VALUE!</v>
      </c>
      <c r="T10" s="200" t="e">
        <f t="shared" ref="T10:T21" si="13">ROUND(IF(S10=L$16,M$16,S10),1)</f>
        <v>#VALUE!</v>
      </c>
      <c r="U10" s="200" t="e">
        <f t="shared" ref="U10:U21" si="14">ROUND(IF(T10=L$17,M$17,T10),1)</f>
        <v>#VALUE!</v>
      </c>
      <c r="V10" s="193"/>
      <c r="W10" s="200">
        <f t="shared" ref="W10:W20" si="15">(W9)</f>
        <v>100</v>
      </c>
      <c r="X10" s="200" t="e">
        <f t="shared" si="2"/>
        <v>#VALUE!</v>
      </c>
      <c r="Y10" s="201">
        <f t="shared" ref="Y10:Y20" si="16">I10</f>
        <v>0</v>
      </c>
      <c r="Z10" s="200">
        <f t="shared" ref="Z10:Z20" si="17">(Z9)</f>
        <v>0</v>
      </c>
      <c r="AA10" s="57">
        <f t="shared" ref="AA10:AA20" si="18">ROUND(IF(Z10="",0,SUM(Y10*(Z10/100))),1)</f>
        <v>0</v>
      </c>
      <c r="AB10" s="223" t="str">
        <f t="shared" ref="AB10:AB20" si="19">J10</f>
        <v/>
      </c>
      <c r="AC10" s="37">
        <f>AC9</f>
        <v>0</v>
      </c>
      <c r="AD10" s="25">
        <f t="shared" si="3"/>
        <v>0</v>
      </c>
      <c r="AE10" s="26"/>
      <c r="AF10" s="26"/>
    </row>
    <row r="11" spans="1:32" x14ac:dyDescent="0.2">
      <c r="A11" s="62" t="str">
        <f>IF(L1="Metric","19mm","3/4 in.")</f>
        <v>3/4 in.</v>
      </c>
      <c r="B11" s="63"/>
      <c r="C11" s="64"/>
      <c r="D11" s="65" t="str">
        <f t="shared" si="4"/>
        <v/>
      </c>
      <c r="E11" s="65" t="str">
        <f t="shared" si="5"/>
        <v/>
      </c>
      <c r="F11" s="62" t="str">
        <f t="shared" si="6"/>
        <v/>
      </c>
      <c r="G11" s="67" t="str">
        <f t="shared" si="7"/>
        <v/>
      </c>
      <c r="H11" s="68">
        <f t="shared" si="8"/>
        <v>0</v>
      </c>
      <c r="I11" s="69"/>
      <c r="J11" s="70" t="str">
        <f t="shared" si="0"/>
        <v/>
      </c>
      <c r="K11" s="60" t="e">
        <f>IF(O$22=100,(O11),IF(P$22=100,(P11),IF(Q$22=100,(Q11),IF(R$22=100,(R11),IF(S$22=100,(S11),IF(T$22=100,(T11),IF(U21=100,(U11),(U11))))))))</f>
        <v>#VALUE!</v>
      </c>
      <c r="L11" s="60" t="s">
        <v>125</v>
      </c>
      <c r="M11" s="55"/>
      <c r="N11" s="55"/>
      <c r="O11" s="60" t="e">
        <f>ROUND(IF(C11="","",SUM(C11/$C$2)*100),1)</f>
        <v>#VALUE!</v>
      </c>
      <c r="P11" s="60" t="e">
        <f>ROUND(IF(O11=L$12,M$12,O11),1)</f>
        <v>#VALUE!</v>
      </c>
      <c r="Q11" s="60" t="e">
        <f t="shared" si="10"/>
        <v>#VALUE!</v>
      </c>
      <c r="R11" s="60" t="e">
        <f t="shared" si="11"/>
        <v>#VALUE!</v>
      </c>
      <c r="S11" s="200" t="e">
        <f t="shared" si="12"/>
        <v>#VALUE!</v>
      </c>
      <c r="T11" s="200" t="e">
        <f t="shared" si="13"/>
        <v>#VALUE!</v>
      </c>
      <c r="U11" s="200" t="e">
        <f t="shared" si="14"/>
        <v>#VALUE!</v>
      </c>
      <c r="V11" s="194"/>
      <c r="W11" s="200">
        <f t="shared" si="15"/>
        <v>100</v>
      </c>
      <c r="X11" s="200" t="e">
        <f t="shared" si="2"/>
        <v>#VALUE!</v>
      </c>
      <c r="Y11" s="201">
        <f t="shared" si="16"/>
        <v>0</v>
      </c>
      <c r="Z11" s="200">
        <f t="shared" si="17"/>
        <v>0</v>
      </c>
      <c r="AA11" s="57">
        <f t="shared" si="18"/>
        <v>0</v>
      </c>
      <c r="AB11" s="223" t="str">
        <f t="shared" si="19"/>
        <v/>
      </c>
      <c r="AC11" s="37">
        <f t="shared" ref="AC11:AC20" si="20">AC10</f>
        <v>0</v>
      </c>
      <c r="AD11" s="25">
        <f t="shared" si="3"/>
        <v>0</v>
      </c>
      <c r="AE11" s="26"/>
      <c r="AF11" s="26"/>
    </row>
    <row r="12" spans="1:32" x14ac:dyDescent="0.2">
      <c r="A12" s="62" t="str">
        <f>IF(L1="Metric","12.5mm","1/2 in.")</f>
        <v>1/2 in.</v>
      </c>
      <c r="B12" s="63"/>
      <c r="C12" s="64"/>
      <c r="D12" s="65" t="str">
        <f t="shared" si="4"/>
        <v/>
      </c>
      <c r="E12" s="65" t="str">
        <f t="shared" si="5"/>
        <v/>
      </c>
      <c r="F12" s="62" t="str">
        <f t="shared" si="6"/>
        <v/>
      </c>
      <c r="G12" s="67" t="str">
        <f t="shared" si="7"/>
        <v/>
      </c>
      <c r="H12" s="68">
        <f t="shared" si="8"/>
        <v>0</v>
      </c>
      <c r="I12" s="69"/>
      <c r="J12" s="70" t="str">
        <f t="shared" si="0"/>
        <v/>
      </c>
      <c r="K12" s="60" t="e">
        <f>IF(O$22=100,(O12),IF(P$22=100,(P12),IF(Q$22=100,(Q12),IF(R$22=100,(R12),IF(S$22=100,(S12),IF(T$22=100,(T12),IF(U22=100,(U12),(U12))))))))</f>
        <v>#VALUE!</v>
      </c>
      <c r="L12" s="60" t="e">
        <f>LARGE(O$9:O$21,1)</f>
        <v>#VALUE!</v>
      </c>
      <c r="M12" s="60" t="e">
        <f>IF(O22&lt;100,(L12+0.1),IF(O22&gt;100,(L12-0.1),L12))</f>
        <v>#VALUE!</v>
      </c>
      <c r="N12" s="55"/>
      <c r="O12" s="60" t="e">
        <f t="shared" si="1"/>
        <v>#VALUE!</v>
      </c>
      <c r="P12" s="60" t="e">
        <f t="shared" si="9"/>
        <v>#VALUE!</v>
      </c>
      <c r="Q12" s="60" t="e">
        <f t="shared" si="10"/>
        <v>#VALUE!</v>
      </c>
      <c r="R12" s="60" t="e">
        <f t="shared" si="11"/>
        <v>#VALUE!</v>
      </c>
      <c r="S12" s="200" t="e">
        <f t="shared" si="12"/>
        <v>#VALUE!</v>
      </c>
      <c r="T12" s="200" t="e">
        <f t="shared" si="13"/>
        <v>#VALUE!</v>
      </c>
      <c r="U12" s="200" t="e">
        <f t="shared" si="14"/>
        <v>#VALUE!</v>
      </c>
      <c r="V12" s="194"/>
      <c r="W12" s="200">
        <f t="shared" si="15"/>
        <v>100</v>
      </c>
      <c r="X12" s="200" t="e">
        <f t="shared" si="2"/>
        <v>#VALUE!</v>
      </c>
      <c r="Y12" s="201">
        <f t="shared" si="16"/>
        <v>0</v>
      </c>
      <c r="Z12" s="200">
        <f t="shared" si="17"/>
        <v>0</v>
      </c>
      <c r="AA12" s="57">
        <f t="shared" si="18"/>
        <v>0</v>
      </c>
      <c r="AB12" s="223" t="str">
        <f t="shared" si="19"/>
        <v/>
      </c>
      <c r="AC12" s="37">
        <f t="shared" si="20"/>
        <v>0</v>
      </c>
      <c r="AD12" s="25">
        <f t="shared" si="3"/>
        <v>0</v>
      </c>
      <c r="AE12" s="26"/>
      <c r="AF12" s="26"/>
    </row>
    <row r="13" spans="1:32" x14ac:dyDescent="0.2">
      <c r="A13" s="62" t="str">
        <f>IF(L1="Metric","9.5mm","3/8 in.")</f>
        <v>3/8 in.</v>
      </c>
      <c r="B13" s="63"/>
      <c r="C13" s="64"/>
      <c r="D13" s="65" t="str">
        <f t="shared" si="4"/>
        <v/>
      </c>
      <c r="E13" s="65" t="str">
        <f t="shared" si="5"/>
        <v/>
      </c>
      <c r="F13" s="62" t="str">
        <f t="shared" si="6"/>
        <v/>
      </c>
      <c r="G13" s="67" t="str">
        <f t="shared" si="7"/>
        <v/>
      </c>
      <c r="H13" s="68">
        <f t="shared" si="8"/>
        <v>0</v>
      </c>
      <c r="I13" s="69"/>
      <c r="J13" s="70" t="str">
        <f>IF(L$6="","",100)</f>
        <v/>
      </c>
      <c r="K13" s="60" t="e">
        <f>IF(O$22=100,(O13),IF(P$22=100,(P13),IF(Q$22=100,(Q13),IF(R$22=100,(R13),IF(S$22=100,(S13),IF(T$22=100,(T13),IF(U22=100,(U13),(U13))))))))</f>
        <v>#VALUE!</v>
      </c>
      <c r="L13" s="60" t="e">
        <f>LARGE(O$9:O$21,2)</f>
        <v>#VALUE!</v>
      </c>
      <c r="M13" s="60" t="e">
        <f>IF(P22&lt;100,(L13+0.1),IF(P22&gt;100,(L13-0.1),L13))</f>
        <v>#VALUE!</v>
      </c>
      <c r="N13" s="55"/>
      <c r="O13" s="60" t="e">
        <f t="shared" si="1"/>
        <v>#VALUE!</v>
      </c>
      <c r="P13" s="60" t="e">
        <f t="shared" si="9"/>
        <v>#VALUE!</v>
      </c>
      <c r="Q13" s="60" t="e">
        <f t="shared" si="10"/>
        <v>#VALUE!</v>
      </c>
      <c r="R13" s="60" t="e">
        <f t="shared" si="11"/>
        <v>#VALUE!</v>
      </c>
      <c r="S13" s="200" t="e">
        <f t="shared" si="12"/>
        <v>#VALUE!</v>
      </c>
      <c r="T13" s="200" t="e">
        <f t="shared" si="13"/>
        <v>#VALUE!</v>
      </c>
      <c r="U13" s="200" t="e">
        <f t="shared" si="14"/>
        <v>#VALUE!</v>
      </c>
      <c r="V13" s="194"/>
      <c r="W13" s="200">
        <f t="shared" si="15"/>
        <v>100</v>
      </c>
      <c r="X13" s="200" t="e">
        <f t="shared" si="2"/>
        <v>#VALUE!</v>
      </c>
      <c r="Y13" s="201">
        <f t="shared" si="16"/>
        <v>0</v>
      </c>
      <c r="Z13" s="200">
        <f t="shared" si="17"/>
        <v>0</v>
      </c>
      <c r="AA13" s="57">
        <f t="shared" si="18"/>
        <v>0</v>
      </c>
      <c r="AB13" s="223" t="str">
        <f t="shared" si="19"/>
        <v/>
      </c>
      <c r="AC13" s="37">
        <f t="shared" si="20"/>
        <v>0</v>
      </c>
      <c r="AD13" s="25">
        <f t="shared" si="3"/>
        <v>0</v>
      </c>
      <c r="AE13" s="26"/>
      <c r="AF13" s="26"/>
    </row>
    <row r="14" spans="1:32" x14ac:dyDescent="0.2">
      <c r="A14" s="62" t="str">
        <f>IF(L1="Metric","4.75mm","#4")</f>
        <v>#4</v>
      </c>
      <c r="B14" s="63"/>
      <c r="C14" s="64"/>
      <c r="D14" s="65" t="str">
        <f t="shared" si="4"/>
        <v/>
      </c>
      <c r="E14" s="65" t="str">
        <f t="shared" si="5"/>
        <v/>
      </c>
      <c r="F14" s="62" t="str">
        <f t="shared" si="6"/>
        <v/>
      </c>
      <c r="G14" s="67" t="str">
        <f t="shared" si="7"/>
        <v/>
      </c>
      <c r="H14" s="68">
        <f t="shared" si="8"/>
        <v>0</v>
      </c>
      <c r="I14" s="69"/>
      <c r="J14" s="70" t="str">
        <f>IF(L6="","",95)</f>
        <v/>
      </c>
      <c r="K14" s="60" t="e">
        <f>IF(O$22=100,(O14),IF(P$22=100,(P14),IF(Q$22=100,(Q14),IF(R$22=100,(R14),IF(S$22=100,(S14),IF(T$22=100,(T14),IF(U22=100,(U14),(U14))))))))</f>
        <v>#VALUE!</v>
      </c>
      <c r="L14" s="60" t="e">
        <f>LARGE(O$9:O$21,3)</f>
        <v>#VALUE!</v>
      </c>
      <c r="M14" s="60" t="e">
        <f>IF(Q22&lt;100,(L14+0.1),IF(Q22&gt;100,(L14-0.1),L14))</f>
        <v>#VALUE!</v>
      </c>
      <c r="N14" s="55"/>
      <c r="O14" s="60" t="e">
        <f t="shared" si="1"/>
        <v>#VALUE!</v>
      </c>
      <c r="P14" s="60" t="e">
        <f t="shared" si="9"/>
        <v>#VALUE!</v>
      </c>
      <c r="Q14" s="60" t="e">
        <f t="shared" si="10"/>
        <v>#VALUE!</v>
      </c>
      <c r="R14" s="60" t="e">
        <f t="shared" si="11"/>
        <v>#VALUE!</v>
      </c>
      <c r="S14" s="200" t="e">
        <f t="shared" si="12"/>
        <v>#VALUE!</v>
      </c>
      <c r="T14" s="200" t="e">
        <f t="shared" si="13"/>
        <v>#VALUE!</v>
      </c>
      <c r="U14" s="200" t="e">
        <f t="shared" si="14"/>
        <v>#VALUE!</v>
      </c>
      <c r="V14" s="194"/>
      <c r="W14" s="200">
        <f t="shared" si="15"/>
        <v>100</v>
      </c>
      <c r="X14" s="200" t="e">
        <f t="shared" si="2"/>
        <v>#VALUE!</v>
      </c>
      <c r="Y14" s="201">
        <f t="shared" si="16"/>
        <v>0</v>
      </c>
      <c r="Z14" s="200">
        <f t="shared" si="17"/>
        <v>0</v>
      </c>
      <c r="AA14" s="57">
        <f t="shared" si="18"/>
        <v>0</v>
      </c>
      <c r="AB14" s="223" t="str">
        <f t="shared" si="19"/>
        <v/>
      </c>
      <c r="AC14" s="37">
        <f t="shared" si="20"/>
        <v>0</v>
      </c>
      <c r="AD14" s="25">
        <f t="shared" si="3"/>
        <v>0</v>
      </c>
      <c r="AE14" s="26"/>
      <c r="AF14" s="26"/>
    </row>
    <row r="15" spans="1:32" x14ac:dyDescent="0.2">
      <c r="A15" s="62" t="str">
        <f>IF(L1="Metric","2.36mm","#8")</f>
        <v>#8</v>
      </c>
      <c r="B15" s="73"/>
      <c r="C15" s="64"/>
      <c r="D15" s="65" t="str">
        <f t="shared" si="4"/>
        <v/>
      </c>
      <c r="E15" s="65" t="str">
        <f t="shared" si="5"/>
        <v/>
      </c>
      <c r="F15" s="62" t="str">
        <f t="shared" si="6"/>
        <v/>
      </c>
      <c r="G15" s="67" t="str">
        <f t="shared" si="7"/>
        <v/>
      </c>
      <c r="H15" s="68">
        <f t="shared" si="8"/>
        <v>0</v>
      </c>
      <c r="I15" s="69"/>
      <c r="J15" s="70" t="str">
        <f>IF(L6="","",85)</f>
        <v/>
      </c>
      <c r="K15" s="60" t="e">
        <f>IF(O$22=100,(O15),IF(P$22=100,(P15),IF(Q$22=100,(Q15),IF(R$22=100,(R15),IF(S$22=100,(S15),IF(T$22=100,(T15),IF(U22=100,(U15),(U15))))))))</f>
        <v>#VALUE!</v>
      </c>
      <c r="L15" s="60" t="e">
        <f>LARGE(O$9:O$21,4)</f>
        <v>#VALUE!</v>
      </c>
      <c r="M15" s="60" t="e">
        <f>IF(R22&lt;100,(L15+0.1),IF(R22&gt;100,(L15-0.1),L15))</f>
        <v>#VALUE!</v>
      </c>
      <c r="N15" s="74"/>
      <c r="O15" s="60" t="e">
        <f t="shared" si="1"/>
        <v>#VALUE!</v>
      </c>
      <c r="P15" s="60" t="e">
        <f t="shared" si="9"/>
        <v>#VALUE!</v>
      </c>
      <c r="Q15" s="60" t="e">
        <f t="shared" si="10"/>
        <v>#VALUE!</v>
      </c>
      <c r="R15" s="60" t="e">
        <f t="shared" si="11"/>
        <v>#VALUE!</v>
      </c>
      <c r="S15" s="200" t="e">
        <f t="shared" si="12"/>
        <v>#VALUE!</v>
      </c>
      <c r="T15" s="200" t="e">
        <f t="shared" si="13"/>
        <v>#VALUE!</v>
      </c>
      <c r="U15" s="200" t="e">
        <f t="shared" si="14"/>
        <v>#VALUE!</v>
      </c>
      <c r="V15" s="194"/>
      <c r="W15" s="200">
        <f t="shared" si="15"/>
        <v>100</v>
      </c>
      <c r="X15" s="200" t="e">
        <f t="shared" si="2"/>
        <v>#VALUE!</v>
      </c>
      <c r="Y15" s="201">
        <f t="shared" si="16"/>
        <v>0</v>
      </c>
      <c r="Z15" s="200">
        <f t="shared" si="17"/>
        <v>0</v>
      </c>
      <c r="AA15" s="57">
        <f t="shared" si="18"/>
        <v>0</v>
      </c>
      <c r="AB15" s="223" t="str">
        <f t="shared" si="19"/>
        <v/>
      </c>
      <c r="AC15" s="37">
        <f t="shared" si="20"/>
        <v>0</v>
      </c>
      <c r="AD15" s="25">
        <f t="shared" si="3"/>
        <v>0</v>
      </c>
      <c r="AE15" s="26"/>
      <c r="AF15" s="26"/>
    </row>
    <row r="16" spans="1:32" x14ac:dyDescent="0.2">
      <c r="A16" s="62" t="str">
        <f>IF(L1="Metric","1.18mm","#16")</f>
        <v>#16</v>
      </c>
      <c r="B16" s="73"/>
      <c r="C16" s="64"/>
      <c r="D16" s="65" t="str">
        <f t="shared" si="4"/>
        <v/>
      </c>
      <c r="E16" s="65" t="str">
        <f t="shared" si="5"/>
        <v/>
      </c>
      <c r="F16" s="62" t="str">
        <f t="shared" si="6"/>
        <v/>
      </c>
      <c r="G16" s="67" t="str">
        <f t="shared" si="7"/>
        <v/>
      </c>
      <c r="H16" s="68">
        <f t="shared" si="8"/>
        <v>0</v>
      </c>
      <c r="I16" s="69"/>
      <c r="J16" s="70" t="str">
        <f>IF(L6="","",70)</f>
        <v/>
      </c>
      <c r="K16" s="60" t="e">
        <f>IF(O$22=100,(O16),IF(P$22=100,(P16),IF(Q$22=100,(Q16),IF(R$22=100,(R16),IF(S$22=100,(S16),IF(T$22=100,(T16),IF(U22=100,(U16),(U16))))))))</f>
        <v>#VALUE!</v>
      </c>
      <c r="L16" s="60" t="e">
        <f>LARGE(O$9:O$21,5)</f>
        <v>#VALUE!</v>
      </c>
      <c r="M16" s="60" t="e">
        <f>IF(S22&lt;100,(L16+0.1),IF(S22&gt;100,(L16-0.1),L16))</f>
        <v>#VALUE!</v>
      </c>
      <c r="N16" s="55"/>
      <c r="O16" s="60" t="e">
        <f t="shared" si="1"/>
        <v>#VALUE!</v>
      </c>
      <c r="P16" s="60" t="e">
        <f t="shared" si="9"/>
        <v>#VALUE!</v>
      </c>
      <c r="Q16" s="60" t="e">
        <f t="shared" si="10"/>
        <v>#VALUE!</v>
      </c>
      <c r="R16" s="60" t="e">
        <f t="shared" si="11"/>
        <v>#VALUE!</v>
      </c>
      <c r="S16" s="200" t="e">
        <f t="shared" si="12"/>
        <v>#VALUE!</v>
      </c>
      <c r="T16" s="200" t="e">
        <f t="shared" si="13"/>
        <v>#VALUE!</v>
      </c>
      <c r="U16" s="200" t="e">
        <f t="shared" si="14"/>
        <v>#VALUE!</v>
      </c>
      <c r="V16" s="194"/>
      <c r="W16" s="200">
        <f t="shared" si="15"/>
        <v>100</v>
      </c>
      <c r="X16" s="200" t="e">
        <f t="shared" si="2"/>
        <v>#VALUE!</v>
      </c>
      <c r="Y16" s="201">
        <f t="shared" si="16"/>
        <v>0</v>
      </c>
      <c r="Z16" s="200">
        <f t="shared" si="17"/>
        <v>0</v>
      </c>
      <c r="AA16" s="57">
        <f t="shared" si="18"/>
        <v>0</v>
      </c>
      <c r="AB16" s="223" t="str">
        <f t="shared" si="19"/>
        <v/>
      </c>
      <c r="AC16" s="37">
        <f t="shared" si="20"/>
        <v>0</v>
      </c>
      <c r="AD16" s="25">
        <f t="shared" si="3"/>
        <v>0</v>
      </c>
      <c r="AE16" s="26"/>
      <c r="AF16" s="26"/>
    </row>
    <row r="17" spans="1:32" x14ac:dyDescent="0.2">
      <c r="A17" s="62" t="str">
        <f>IF(L1="Metric","600um","#30")</f>
        <v>#30</v>
      </c>
      <c r="B17" s="73"/>
      <c r="C17" s="64"/>
      <c r="D17" s="65" t="str">
        <f t="shared" si="4"/>
        <v/>
      </c>
      <c r="E17" s="65" t="str">
        <f t="shared" si="5"/>
        <v/>
      </c>
      <c r="F17" s="62" t="str">
        <f t="shared" si="6"/>
        <v/>
      </c>
      <c r="G17" s="67" t="str">
        <f t="shared" si="7"/>
        <v/>
      </c>
      <c r="H17" s="68">
        <f t="shared" si="8"/>
        <v>0</v>
      </c>
      <c r="I17" s="69"/>
      <c r="J17" s="70" t="str">
        <f>IF(L6="","",50)</f>
        <v/>
      </c>
      <c r="K17" s="60" t="e">
        <f>IF(O$22=100,(O17),IF(P$22=100,(P17),IF(Q$22=100,(Q17),IF(R$22=100,(R17),IF(S$22=100,(S17),IF(T$22=100,(T17),IF(U22=100,(U17),(U17))))))))</f>
        <v>#VALUE!</v>
      </c>
      <c r="L17" s="60" t="e">
        <f>LARGE(O$9:O$21,6)</f>
        <v>#VALUE!</v>
      </c>
      <c r="M17" s="60" t="e">
        <f>IF(T22&lt;100,(L17+0.1),IF(T22&gt;100,(L17-0.1),L17))</f>
        <v>#VALUE!</v>
      </c>
      <c r="N17" s="55"/>
      <c r="O17" s="60" t="e">
        <f t="shared" si="1"/>
        <v>#VALUE!</v>
      </c>
      <c r="P17" s="60" t="e">
        <f t="shared" si="9"/>
        <v>#VALUE!</v>
      </c>
      <c r="Q17" s="60" t="e">
        <f t="shared" si="10"/>
        <v>#VALUE!</v>
      </c>
      <c r="R17" s="60" t="e">
        <f t="shared" si="11"/>
        <v>#VALUE!</v>
      </c>
      <c r="S17" s="200" t="e">
        <f t="shared" si="12"/>
        <v>#VALUE!</v>
      </c>
      <c r="T17" s="200" t="e">
        <f t="shared" si="13"/>
        <v>#VALUE!</v>
      </c>
      <c r="U17" s="200" t="e">
        <f t="shared" si="14"/>
        <v>#VALUE!</v>
      </c>
      <c r="V17" s="194"/>
      <c r="W17" s="200">
        <f t="shared" si="15"/>
        <v>100</v>
      </c>
      <c r="X17" s="200" t="e">
        <f t="shared" si="2"/>
        <v>#VALUE!</v>
      </c>
      <c r="Y17" s="201">
        <f t="shared" si="16"/>
        <v>0</v>
      </c>
      <c r="Z17" s="200">
        <f t="shared" si="17"/>
        <v>0</v>
      </c>
      <c r="AA17" s="57">
        <f t="shared" si="18"/>
        <v>0</v>
      </c>
      <c r="AB17" s="223" t="str">
        <f t="shared" si="19"/>
        <v/>
      </c>
      <c r="AC17" s="37">
        <f t="shared" si="20"/>
        <v>0</v>
      </c>
      <c r="AD17" s="25">
        <f t="shared" si="3"/>
        <v>0</v>
      </c>
      <c r="AE17" s="26"/>
      <c r="AF17" s="26"/>
    </row>
    <row r="18" spans="1:32" x14ac:dyDescent="0.2">
      <c r="A18" s="62" t="str">
        <f>IF(L1="Metric","300um","#50")</f>
        <v>#50</v>
      </c>
      <c r="B18" s="73"/>
      <c r="C18" s="64"/>
      <c r="D18" s="65" t="str">
        <f t="shared" si="4"/>
        <v/>
      </c>
      <c r="E18" s="65" t="str">
        <f t="shared" si="5"/>
        <v/>
      </c>
      <c r="F18" s="62" t="str">
        <f t="shared" si="6"/>
        <v/>
      </c>
      <c r="G18" s="67" t="str">
        <f t="shared" si="7"/>
        <v/>
      </c>
      <c r="H18" s="68">
        <f t="shared" si="8"/>
        <v>0</v>
      </c>
      <c r="I18" s="69"/>
      <c r="J18" s="70" t="str">
        <f>IF(L6="","",45)</f>
        <v/>
      </c>
      <c r="K18" s="60" t="e">
        <f>IF(O$22=100,(O18),IF(P$22=100,(P18),IF(Q$22=100,(Q18),IF(R$22=100,(R18),IF(S$22=100,(S18),IF(T$22=100,(T18),IF(U22=100,(U18),(U18))))))))</f>
        <v>#VALUE!</v>
      </c>
      <c r="L18" s="74"/>
      <c r="M18" s="74"/>
      <c r="N18" s="74"/>
      <c r="O18" s="60" t="e">
        <f t="shared" si="1"/>
        <v>#VALUE!</v>
      </c>
      <c r="P18" s="60" t="e">
        <f t="shared" si="9"/>
        <v>#VALUE!</v>
      </c>
      <c r="Q18" s="60" t="e">
        <f t="shared" si="10"/>
        <v>#VALUE!</v>
      </c>
      <c r="R18" s="60" t="e">
        <f t="shared" si="11"/>
        <v>#VALUE!</v>
      </c>
      <c r="S18" s="200" t="e">
        <f t="shared" si="12"/>
        <v>#VALUE!</v>
      </c>
      <c r="T18" s="200" t="e">
        <f t="shared" si="13"/>
        <v>#VALUE!</v>
      </c>
      <c r="U18" s="200" t="e">
        <f t="shared" si="14"/>
        <v>#VALUE!</v>
      </c>
      <c r="V18" s="194"/>
      <c r="W18" s="200">
        <f t="shared" si="15"/>
        <v>100</v>
      </c>
      <c r="X18" s="200" t="e">
        <f t="shared" si="2"/>
        <v>#VALUE!</v>
      </c>
      <c r="Y18" s="201">
        <f t="shared" si="16"/>
        <v>0</v>
      </c>
      <c r="Z18" s="200">
        <f t="shared" si="17"/>
        <v>0</v>
      </c>
      <c r="AA18" s="57">
        <f t="shared" si="18"/>
        <v>0</v>
      </c>
      <c r="AB18" s="223" t="str">
        <f t="shared" si="19"/>
        <v/>
      </c>
      <c r="AC18" s="37">
        <f t="shared" si="20"/>
        <v>0</v>
      </c>
      <c r="AD18" s="25">
        <f t="shared" si="3"/>
        <v>0</v>
      </c>
      <c r="AE18" s="26"/>
      <c r="AF18" s="26"/>
    </row>
    <row r="19" spans="1:32" x14ac:dyDescent="0.2">
      <c r="A19" s="62" t="str">
        <f>IF(L1="Metric","150um","#100")</f>
        <v>#100</v>
      </c>
      <c r="B19" s="73"/>
      <c r="C19" s="64"/>
      <c r="D19" s="65" t="str">
        <f t="shared" si="4"/>
        <v/>
      </c>
      <c r="E19" s="65" t="str">
        <f t="shared" si="5"/>
        <v/>
      </c>
      <c r="F19" s="62" t="str">
        <f t="shared" si="6"/>
        <v/>
      </c>
      <c r="G19" s="67" t="str">
        <f t="shared" si="7"/>
        <v/>
      </c>
      <c r="H19" s="68">
        <f t="shared" si="8"/>
        <v>0</v>
      </c>
      <c r="I19" s="69"/>
      <c r="J19" s="70" t="str">
        <f>IF(L6="","",35)</f>
        <v/>
      </c>
      <c r="K19" s="60" t="e">
        <f>IF(O$22=100,(O19),IF(P$22=100,(P19),IF(Q$22=100,(Q19),IF(R$22=100,(R19),IF(S$22=100,(S19),IF(T$22=100,(T19),IF(U22=100,(U19),(U19))))))))</f>
        <v>#VALUE!</v>
      </c>
      <c r="L19" s="74"/>
      <c r="M19" s="55"/>
      <c r="N19" s="74"/>
      <c r="O19" s="60" t="e">
        <f t="shared" si="1"/>
        <v>#VALUE!</v>
      </c>
      <c r="P19" s="60" t="e">
        <f t="shared" si="9"/>
        <v>#VALUE!</v>
      </c>
      <c r="Q19" s="60" t="e">
        <f t="shared" si="10"/>
        <v>#VALUE!</v>
      </c>
      <c r="R19" s="60" t="e">
        <f t="shared" si="11"/>
        <v>#VALUE!</v>
      </c>
      <c r="S19" s="200" t="e">
        <f t="shared" si="12"/>
        <v>#VALUE!</v>
      </c>
      <c r="T19" s="200" t="e">
        <f t="shared" si="13"/>
        <v>#VALUE!</v>
      </c>
      <c r="U19" s="200" t="e">
        <f t="shared" si="14"/>
        <v>#VALUE!</v>
      </c>
      <c r="V19" s="194"/>
      <c r="W19" s="200">
        <f t="shared" si="15"/>
        <v>100</v>
      </c>
      <c r="X19" s="200" t="e">
        <f t="shared" si="2"/>
        <v>#VALUE!</v>
      </c>
      <c r="Y19" s="201">
        <f t="shared" si="16"/>
        <v>0</v>
      </c>
      <c r="Z19" s="200">
        <f t="shared" si="17"/>
        <v>0</v>
      </c>
      <c r="AA19" s="57">
        <f t="shared" si="18"/>
        <v>0</v>
      </c>
      <c r="AB19" s="223" t="str">
        <f t="shared" si="19"/>
        <v/>
      </c>
      <c r="AC19" s="37">
        <f t="shared" si="20"/>
        <v>0</v>
      </c>
      <c r="AD19" s="25">
        <f t="shared" si="3"/>
        <v>0</v>
      </c>
      <c r="AE19" s="26"/>
      <c r="AF19" s="26"/>
    </row>
    <row r="20" spans="1:32" x14ac:dyDescent="0.2">
      <c r="A20" s="62" t="str">
        <f>IF(L1="Metric","75um","#200")</f>
        <v>#200</v>
      </c>
      <c r="B20" s="73"/>
      <c r="C20" s="64"/>
      <c r="D20" s="65" t="str">
        <f t="shared" si="4"/>
        <v/>
      </c>
      <c r="E20" s="65" t="str">
        <f t="shared" si="5"/>
        <v/>
      </c>
      <c r="F20" s="62" t="str">
        <f t="shared" si="6"/>
        <v/>
      </c>
      <c r="G20" s="67" t="str">
        <f t="shared" si="7"/>
        <v/>
      </c>
      <c r="H20" s="68">
        <f t="shared" si="8"/>
        <v>0</v>
      </c>
      <c r="I20" s="69"/>
      <c r="J20" s="70" t="str">
        <f>IF(L6="","",25)</f>
        <v/>
      </c>
      <c r="K20" s="60" t="e">
        <f>IF(O$22=100,(O20),IF(P$22=100,(P20),IF(Q$22=100,(Q20),IF(R$22=100,(R20),IF(S$22=100,(S20),IF(T$22=100,(T20),IF(U22=100,(U20),(U20))))))))</f>
        <v>#VALUE!</v>
      </c>
      <c r="L20" s="74"/>
      <c r="M20" s="74"/>
      <c r="N20" s="74"/>
      <c r="O20" s="60" t="e">
        <f t="shared" si="1"/>
        <v>#VALUE!</v>
      </c>
      <c r="P20" s="60" t="e">
        <f t="shared" si="9"/>
        <v>#VALUE!</v>
      </c>
      <c r="Q20" s="60" t="e">
        <f t="shared" si="10"/>
        <v>#VALUE!</v>
      </c>
      <c r="R20" s="60" t="e">
        <f t="shared" si="11"/>
        <v>#VALUE!</v>
      </c>
      <c r="S20" s="200" t="e">
        <f t="shared" si="12"/>
        <v>#VALUE!</v>
      </c>
      <c r="T20" s="200" t="e">
        <f t="shared" si="13"/>
        <v>#VALUE!</v>
      </c>
      <c r="U20" s="200" t="e">
        <f t="shared" si="14"/>
        <v>#VALUE!</v>
      </c>
      <c r="V20" s="194"/>
      <c r="W20" s="200">
        <f t="shared" si="15"/>
        <v>100</v>
      </c>
      <c r="X20" s="200" t="e">
        <f t="shared" si="2"/>
        <v>#VALUE!</v>
      </c>
      <c r="Y20" s="201">
        <f t="shared" si="16"/>
        <v>0</v>
      </c>
      <c r="Z20" s="200">
        <f t="shared" si="17"/>
        <v>0</v>
      </c>
      <c r="AA20" s="57">
        <f t="shared" si="18"/>
        <v>0</v>
      </c>
      <c r="AB20" s="223" t="str">
        <f t="shared" si="19"/>
        <v/>
      </c>
      <c r="AC20" s="37">
        <f t="shared" si="20"/>
        <v>0</v>
      </c>
      <c r="AD20" s="25">
        <f t="shared" si="3"/>
        <v>0</v>
      </c>
      <c r="AE20" s="26"/>
      <c r="AF20" s="26"/>
    </row>
    <row r="21" spans="1:32" x14ac:dyDescent="0.2">
      <c r="A21" s="62" t="s">
        <v>126</v>
      </c>
      <c r="B21" s="73"/>
      <c r="C21" s="64"/>
      <c r="D21" s="65" t="str">
        <f t="shared" si="4"/>
        <v/>
      </c>
      <c r="E21" s="75"/>
      <c r="F21" s="75"/>
      <c r="G21" s="76"/>
      <c r="H21" s="77"/>
      <c r="I21" s="77"/>
      <c r="J21" s="77"/>
      <c r="K21" s="203" t="e">
        <f>IF(O$22=100,(O21),IF(P$22=100,(P21),IF(Q$22=100,(Q21),IF(R$22=100,(R21),IF(S$22=100,(S21),IF(T$22=100,(T21),IF(U22=100,(U21),(U21))))))))</f>
        <v>#VALUE!</v>
      </c>
      <c r="L21" s="204"/>
      <c r="M21" s="74"/>
      <c r="N21" s="74"/>
      <c r="O21" s="60" t="e">
        <f>ROUND(IF(C21="","",SUM((C21+C22)/$C$2)*100),1)</f>
        <v>#VALUE!</v>
      </c>
      <c r="P21" s="60" t="e">
        <f t="shared" si="9"/>
        <v>#VALUE!</v>
      </c>
      <c r="Q21" s="60" t="e">
        <f t="shared" si="10"/>
        <v>#VALUE!</v>
      </c>
      <c r="R21" s="60" t="e">
        <f t="shared" si="11"/>
        <v>#VALUE!</v>
      </c>
      <c r="S21" s="200" t="e">
        <f t="shared" si="12"/>
        <v>#VALUE!</v>
      </c>
      <c r="T21" s="200" t="e">
        <f t="shared" si="13"/>
        <v>#VALUE!</v>
      </c>
      <c r="U21" s="200" t="e">
        <f t="shared" si="14"/>
        <v>#VALUE!</v>
      </c>
      <c r="V21" s="194"/>
      <c r="W21" s="193"/>
      <c r="X21" s="193"/>
      <c r="Y21" s="193"/>
      <c r="Z21" s="193"/>
      <c r="AA21" s="25"/>
      <c r="AB21" s="25"/>
      <c r="AC21" s="25"/>
      <c r="AD21" s="25"/>
      <c r="AE21" s="26"/>
      <c r="AF21" s="26"/>
    </row>
    <row r="22" spans="1:32" x14ac:dyDescent="0.2">
      <c r="A22" s="62" t="s">
        <v>127</v>
      </c>
      <c r="B22" s="63"/>
      <c r="C22" s="65" t="str">
        <f>IF(C3="","",SUM(C2-C3))</f>
        <v/>
      </c>
      <c r="D22" s="80"/>
      <c r="E22" s="75"/>
      <c r="F22" s="81"/>
      <c r="G22" s="81"/>
      <c r="H22" s="81"/>
      <c r="I22" s="81"/>
      <c r="J22" s="81"/>
      <c r="K22" s="203" t="e">
        <f>SUM(K9:K21)</f>
        <v>#VALUE!</v>
      </c>
      <c r="L22" s="85"/>
      <c r="M22" s="55"/>
      <c r="N22" s="55"/>
      <c r="O22" s="60" t="e">
        <f>ROUND(SUM(O9:O21),1)</f>
        <v>#VALUE!</v>
      </c>
      <c r="P22" s="60" t="e">
        <f t="shared" ref="P22:U22" si="21">ROUND(IF(P21="","",SUM(P10:P21)),1)</f>
        <v>#VALUE!</v>
      </c>
      <c r="Q22" s="60" t="e">
        <f t="shared" si="21"/>
        <v>#VALUE!</v>
      </c>
      <c r="R22" s="60" t="e">
        <f t="shared" si="21"/>
        <v>#VALUE!</v>
      </c>
      <c r="S22" s="200" t="e">
        <f t="shared" si="21"/>
        <v>#VALUE!</v>
      </c>
      <c r="T22" s="200" t="e">
        <f t="shared" si="21"/>
        <v>#VALUE!</v>
      </c>
      <c r="U22" s="200" t="e">
        <f t="shared" si="21"/>
        <v>#VALUE!</v>
      </c>
      <c r="V22" s="193"/>
      <c r="W22" s="193"/>
      <c r="X22" s="193"/>
      <c r="Y22" s="193"/>
      <c r="Z22" s="193"/>
      <c r="AA22" s="25"/>
      <c r="AB22" s="25"/>
      <c r="AC22" s="25"/>
      <c r="AD22" s="25"/>
      <c r="AE22" s="26"/>
      <c r="AF22" s="26"/>
    </row>
    <row r="23" spans="1:32" x14ac:dyDescent="0.2">
      <c r="A23" s="62" t="s">
        <v>128</v>
      </c>
      <c r="B23" s="83" t="str">
        <f>IF(B21="","",SUM(B15:B21))</f>
        <v/>
      </c>
      <c r="C23" s="83" t="str">
        <f>IF(C21="","",SUM(C9:C22))</f>
        <v/>
      </c>
      <c r="D23" s="65" t="str">
        <f>IF(D21="","",SUM(D9:D21))</f>
        <v/>
      </c>
      <c r="E23" s="84"/>
      <c r="F23" s="81"/>
      <c r="G23" s="81"/>
      <c r="H23" s="81"/>
      <c r="I23" s="81"/>
      <c r="J23" s="81"/>
      <c r="K23" s="85"/>
      <c r="L23" s="85"/>
      <c r="M23" s="55"/>
      <c r="N23" s="55"/>
      <c r="O23" s="55"/>
      <c r="P23" s="55"/>
      <c r="Q23" s="55"/>
      <c r="R23" s="55"/>
      <c r="S23" s="193"/>
      <c r="T23" s="193"/>
      <c r="U23" s="193"/>
      <c r="V23" s="193"/>
      <c r="W23" s="194"/>
      <c r="X23" s="194"/>
      <c r="Y23" s="194"/>
      <c r="Z23" s="194"/>
      <c r="AA23" s="37"/>
      <c r="AB23" s="25"/>
      <c r="AC23" s="25"/>
      <c r="AD23" s="25"/>
      <c r="AE23" s="26"/>
      <c r="AF23" s="26"/>
    </row>
    <row r="24" spans="1:32" x14ac:dyDescent="0.2">
      <c r="A24" s="62" t="s">
        <v>129</v>
      </c>
      <c r="B24" s="65" t="str">
        <f>IF(B23="","",ROUND(SUM(B23/C5)*100,1))</f>
        <v/>
      </c>
      <c r="C24" s="65" t="str">
        <f>IF(C23="","",ROUND(SUM(C23/C2)*100,1))</f>
        <v/>
      </c>
      <c r="D24" s="34"/>
      <c r="E24" s="81"/>
      <c r="F24" s="81"/>
      <c r="G24" s="81"/>
      <c r="H24" s="81"/>
      <c r="I24" s="81"/>
      <c r="J24" s="81"/>
      <c r="K24" s="85"/>
      <c r="L24" s="85"/>
      <c r="M24" s="55"/>
      <c r="N24" s="55"/>
      <c r="O24" s="55"/>
      <c r="P24" s="55"/>
      <c r="Q24" s="55"/>
      <c r="R24" s="55"/>
      <c r="S24" s="193"/>
      <c r="T24" s="193"/>
      <c r="U24" s="193"/>
      <c r="V24" s="193"/>
      <c r="W24" s="200"/>
      <c r="X24" s="200"/>
      <c r="Y24" s="200"/>
      <c r="Z24" s="200"/>
      <c r="AA24" s="57"/>
      <c r="AB24" s="25"/>
      <c r="AC24" s="25"/>
      <c r="AD24" s="25"/>
      <c r="AE24" s="26"/>
      <c r="AF24" s="26"/>
    </row>
    <row r="25" spans="1:32" x14ac:dyDescent="0.2">
      <c r="A25" s="86"/>
      <c r="B25" s="86"/>
      <c r="C25" s="87"/>
      <c r="D25" s="34"/>
      <c r="E25" s="75"/>
      <c r="F25" s="81"/>
      <c r="G25" s="81"/>
      <c r="H25" s="81"/>
      <c r="I25" s="81"/>
      <c r="J25" s="81"/>
      <c r="K25" s="221"/>
      <c r="L25" s="221"/>
      <c r="M25" s="55"/>
      <c r="N25" s="55"/>
      <c r="O25" s="55"/>
      <c r="P25" s="55"/>
      <c r="Q25" s="55"/>
      <c r="R25" s="55"/>
      <c r="S25" s="193"/>
      <c r="T25" s="193"/>
      <c r="U25" s="193"/>
      <c r="V25" s="193"/>
      <c r="W25" s="193"/>
      <c r="X25" s="193"/>
      <c r="Y25" s="193"/>
      <c r="Z25" s="193"/>
      <c r="AA25" s="25"/>
      <c r="AB25" s="25"/>
      <c r="AC25" s="25"/>
      <c r="AD25" s="25"/>
      <c r="AE25" s="26"/>
      <c r="AF25" s="26"/>
    </row>
    <row r="26" spans="1:32" hidden="1" x14ac:dyDescent="0.2">
      <c r="A26" s="89"/>
      <c r="B26" s="90"/>
      <c r="C26" s="86"/>
      <c r="D26" s="91"/>
      <c r="E26" s="92"/>
      <c r="F26" s="93"/>
      <c r="G26" s="93"/>
      <c r="H26" s="94"/>
      <c r="I26" s="95"/>
      <c r="J26" s="95"/>
      <c r="K26" s="89"/>
      <c r="L26" s="89"/>
      <c r="M26" s="205"/>
      <c r="N26" s="205"/>
      <c r="O26" s="206"/>
      <c r="P26" s="206"/>
      <c r="T26" s="208"/>
      <c r="U26" s="208"/>
      <c r="V26" s="208"/>
      <c r="W26" s="208"/>
      <c r="AA26" s="97"/>
      <c r="AB26" s="97"/>
      <c r="AC26" s="97"/>
      <c r="AD26" s="97"/>
      <c r="AE26" s="26"/>
      <c r="AF26" s="26"/>
    </row>
    <row r="27" spans="1:32" hidden="1" x14ac:dyDescent="0.2">
      <c r="A27" s="89"/>
      <c r="B27" s="90"/>
      <c r="C27" s="86"/>
      <c r="D27" s="91"/>
      <c r="E27" s="92"/>
      <c r="F27" s="93"/>
      <c r="G27" s="93"/>
      <c r="H27" s="94"/>
      <c r="I27" s="95"/>
      <c r="J27" s="95"/>
      <c r="K27" s="89"/>
      <c r="L27" s="89"/>
      <c r="M27" s="205"/>
      <c r="N27" s="205"/>
      <c r="O27" s="206"/>
      <c r="P27" s="206"/>
      <c r="T27" s="208"/>
      <c r="U27" s="208"/>
      <c r="V27" s="208"/>
      <c r="W27" s="208"/>
      <c r="AA27" s="97"/>
      <c r="AB27" s="97"/>
      <c r="AC27" s="97"/>
      <c r="AD27" s="97"/>
      <c r="AE27" s="26"/>
      <c r="AF27" s="26"/>
    </row>
    <row r="28" spans="1:32" hidden="1" x14ac:dyDescent="0.2">
      <c r="A28" s="89"/>
      <c r="B28" s="90"/>
      <c r="C28" s="86"/>
      <c r="D28" s="91"/>
      <c r="E28" s="92"/>
      <c r="F28" s="93"/>
      <c r="G28" s="93"/>
      <c r="H28" s="94"/>
      <c r="I28" s="95"/>
      <c r="J28" s="95"/>
      <c r="K28" s="89"/>
      <c r="L28" s="89"/>
      <c r="M28" s="205"/>
      <c r="N28" s="205"/>
      <c r="O28" s="206"/>
      <c r="P28" s="209"/>
      <c r="Q28" s="210" t="e">
        <f>IF(Q$56=100,(Q44),IF(R$56=100,(R44),IF(S$56=100,(S44),IF(T$56=100,(T44),IF(U$56=100,(U44),IF(V$56=100,(V44),IF(W56=100,(W44),(W44))))))))</f>
        <v>#VALUE!</v>
      </c>
      <c r="R28" s="210" t="s">
        <v>124</v>
      </c>
      <c r="T28" s="208"/>
      <c r="U28" s="208"/>
      <c r="V28" s="208"/>
      <c r="W28" s="208"/>
      <c r="AA28" s="97"/>
      <c r="AB28" s="97"/>
      <c r="AC28" s="97"/>
      <c r="AD28" s="97"/>
      <c r="AE28" s="26"/>
      <c r="AF28" s="26"/>
    </row>
    <row r="29" spans="1:32" hidden="1" x14ac:dyDescent="0.2">
      <c r="A29" s="89"/>
      <c r="B29" s="90"/>
      <c r="C29" s="86"/>
      <c r="D29" s="91"/>
      <c r="E29" s="92"/>
      <c r="F29" s="93"/>
      <c r="G29" s="93"/>
      <c r="H29" s="94"/>
      <c r="I29" s="95"/>
      <c r="J29" s="95"/>
      <c r="K29" s="89"/>
      <c r="L29" s="89"/>
      <c r="M29" s="205"/>
      <c r="N29" s="205"/>
      <c r="O29" s="206"/>
      <c r="P29" s="209"/>
      <c r="Q29" s="210" t="e">
        <f>IF(Q$56=100,(Q45),IF(R$56=100,(R45),IF(S$56=100,(S45),IF(T$56=100,(T45),IF(U$56=100,(U45),IF(V$56=100,(V45),IF(W56=100,(W45),(W45))))))))</f>
        <v>#VALUE!</v>
      </c>
      <c r="R29" s="210" t="s">
        <v>125</v>
      </c>
      <c r="T29" s="208"/>
      <c r="U29" s="208"/>
      <c r="V29" s="208"/>
      <c r="W29" s="208"/>
      <c r="AA29" s="97"/>
      <c r="AB29" s="97"/>
      <c r="AC29" s="97"/>
      <c r="AD29" s="97"/>
      <c r="AE29" s="26"/>
      <c r="AF29" s="26"/>
    </row>
    <row r="30" spans="1:32" hidden="1" x14ac:dyDescent="0.2">
      <c r="A30" s="89"/>
      <c r="B30" s="90"/>
      <c r="C30" s="86"/>
      <c r="D30" s="91"/>
      <c r="E30" s="92"/>
      <c r="F30" s="93"/>
      <c r="G30" s="93"/>
      <c r="H30" s="94"/>
      <c r="I30" s="95"/>
      <c r="J30" s="95"/>
      <c r="K30" s="89"/>
      <c r="L30" s="89"/>
      <c r="M30" s="205"/>
      <c r="N30" s="205"/>
      <c r="O30" s="206"/>
      <c r="P30" s="209"/>
      <c r="Q30" s="210" t="e">
        <f>IF(Q$56=100,(Q46),IF(R$56=100,(R46),IF(S$56=100,(S46),IF(T$56=100,(T46),IF(U$56=100,(U46),IF(V$56=100,(V46),IF(W56=100,(W46),(W46))))))))</f>
        <v>#VALUE!</v>
      </c>
      <c r="R30" s="210" t="e">
        <f>LARGE(Q$43:Q$55,1)</f>
        <v>#VALUE!</v>
      </c>
      <c r="S30" s="210" t="e">
        <f>IF(Q56&lt;100,(R30+0.1),IF(Q56&gt;100,(R30-0.1),R30))</f>
        <v>#VALUE!</v>
      </c>
      <c r="T30" s="208"/>
      <c r="U30" s="208"/>
      <c r="V30" s="208"/>
      <c r="W30" s="208"/>
      <c r="AA30" s="97"/>
      <c r="AB30" s="97"/>
      <c r="AC30" s="97"/>
      <c r="AD30" s="97"/>
      <c r="AE30" s="26"/>
      <c r="AF30" s="26"/>
    </row>
    <row r="31" spans="1:32" hidden="1" x14ac:dyDescent="0.2">
      <c r="A31" s="89"/>
      <c r="B31" s="330"/>
      <c r="C31" s="331"/>
      <c r="D31" s="91"/>
      <c r="E31" s="92"/>
      <c r="F31" s="93"/>
      <c r="G31" s="75"/>
      <c r="H31" s="75"/>
      <c r="I31" s="76"/>
      <c r="J31" s="76"/>
      <c r="K31" s="89"/>
      <c r="L31" s="89"/>
      <c r="M31" s="205"/>
      <c r="N31" s="205"/>
      <c r="O31" s="206"/>
      <c r="P31" s="209"/>
      <c r="Q31" s="210" t="e">
        <f>IF(Q$56=100,(Q47),IF(R$56=100,(R47),IF(S$56=100,(S47),IF(T$56=100,(T47),IF(U$56=100,(U47),IF(V$56=100,(V47),IF(W56=100,(W47),(W47))))))))</f>
        <v>#VALUE!</v>
      </c>
      <c r="R31" s="210" t="e">
        <f>LARGE(Q$43:Q$55,2)</f>
        <v>#VALUE!</v>
      </c>
      <c r="S31" s="210" t="e">
        <f>IF(R56&lt;100,(R31+0.1),IF(R56&gt;100,(R31-0.1),R31))</f>
        <v>#VALUE!</v>
      </c>
      <c r="T31" s="208"/>
      <c r="U31" s="208"/>
      <c r="V31" s="208"/>
      <c r="W31" s="208"/>
      <c r="AA31" s="97"/>
      <c r="AB31" s="97"/>
      <c r="AC31" s="97"/>
      <c r="AD31" s="97"/>
      <c r="AE31" s="26"/>
      <c r="AF31" s="26"/>
    </row>
    <row r="32" spans="1:32" hidden="1" x14ac:dyDescent="0.2">
      <c r="A32" s="89"/>
      <c r="B32" s="330"/>
      <c r="C32" s="331"/>
      <c r="D32" s="86"/>
      <c r="E32" s="93"/>
      <c r="F32" s="101"/>
      <c r="G32" s="75"/>
      <c r="H32" s="81"/>
      <c r="I32" s="81"/>
      <c r="J32" s="81"/>
      <c r="K32" s="89"/>
      <c r="L32" s="89"/>
      <c r="M32" s="205"/>
      <c r="N32" s="205"/>
      <c r="O32" s="206"/>
      <c r="P32" s="206"/>
      <c r="Q32" s="210" t="e">
        <f>IF(Q$56=100,(Q48),IF(R$56=100,(R48),IF(S$56=100,(S48),IF(T$56=100,(T48),IF(U$56=100,(U48),IF(V$56=100,(V48),IF(W56=100,(W48),(W48))))))))</f>
        <v>#VALUE!</v>
      </c>
      <c r="R32" s="210" t="e">
        <f>LARGE(Q$43:Q$55,3)</f>
        <v>#VALUE!</v>
      </c>
      <c r="S32" s="210" t="e">
        <f>IF(S56&lt;100,(R32+0.1),IF(S56&gt;100,(R32-0.1),R32))</f>
        <v>#VALUE!</v>
      </c>
      <c r="T32" s="208"/>
      <c r="U32" s="208"/>
      <c r="V32" s="208"/>
      <c r="W32" s="208"/>
      <c r="AA32" s="97"/>
      <c r="AB32" s="97"/>
      <c r="AC32" s="97"/>
      <c r="AD32" s="97"/>
      <c r="AE32" s="26"/>
      <c r="AF32" s="26"/>
    </row>
    <row r="33" spans="1:32" hidden="1" x14ac:dyDescent="0.2">
      <c r="A33" s="89"/>
      <c r="B33" s="89"/>
      <c r="C33" s="89"/>
      <c r="D33" s="89"/>
      <c r="E33" s="102"/>
      <c r="F33" s="102"/>
      <c r="G33" s="102"/>
      <c r="H33" s="102"/>
      <c r="I33" s="102"/>
      <c r="J33" s="102"/>
      <c r="K33" s="89"/>
      <c r="L33" s="89"/>
      <c r="M33" s="205"/>
      <c r="N33" s="205"/>
      <c r="O33" s="206"/>
      <c r="P33" s="206"/>
      <c r="Q33" s="210" t="e">
        <f>IF(Q$56=100,(Q49),IF(R$56=100,(R49),IF(S$56=100,(S49),IF(T$56=100,(T49),IF(U$56=100,(U49),IF(V$56=100,(V49),IF(W56=100,(W49),(W49))))))))</f>
        <v>#VALUE!</v>
      </c>
      <c r="R33" s="210" t="e">
        <f>LARGE(Q$43:Q$55,4)</f>
        <v>#VALUE!</v>
      </c>
      <c r="S33" s="210" t="e">
        <f>IF(T56&lt;100,(R33+0.1),IF(T56&gt;100,(R33-0.1),R33))</f>
        <v>#VALUE!</v>
      </c>
      <c r="T33" s="208"/>
      <c r="U33" s="208"/>
      <c r="V33" s="208"/>
      <c r="W33" s="208"/>
      <c r="AA33" s="97"/>
      <c r="AB33" s="97"/>
      <c r="AC33" s="97"/>
      <c r="AD33" s="97"/>
      <c r="AE33" s="26"/>
      <c r="AF33" s="26"/>
    </row>
    <row r="34" spans="1:32" hidden="1" x14ac:dyDescent="0.2">
      <c r="A34" s="89"/>
      <c r="B34" s="89"/>
      <c r="C34" s="89"/>
      <c r="D34" s="89"/>
      <c r="E34" s="102"/>
      <c r="F34" s="102"/>
      <c r="G34" s="102"/>
      <c r="H34" s="102"/>
      <c r="I34" s="102"/>
      <c r="J34" s="102"/>
      <c r="K34" s="89"/>
      <c r="L34" s="89"/>
      <c r="M34" s="205"/>
      <c r="N34" s="205"/>
      <c r="O34" s="206"/>
      <c r="P34" s="206"/>
      <c r="Q34" s="210" t="e">
        <f>IF(Q$56=100,(Q50),IF(R$56=100,(R50),IF(S$56=100,(S50),IF(T$56=100,(T50),IF(U$56=100,(U50),IF(V$56=100,(V50),IF(W56=100,(W50),(W50))))))))</f>
        <v>#VALUE!</v>
      </c>
      <c r="R34" s="210" t="e">
        <f>LARGE(Q$43:Q$55,5)</f>
        <v>#VALUE!</v>
      </c>
      <c r="S34" s="210" t="e">
        <f>IF(U56&lt;100,(R34+0.1),IF(U56&gt;100,(R34-0.1),R34))</f>
        <v>#VALUE!</v>
      </c>
      <c r="AA34" s="97"/>
      <c r="AB34" s="97"/>
      <c r="AC34" s="97"/>
      <c r="AD34" s="97"/>
      <c r="AE34" s="26"/>
      <c r="AF34" s="26"/>
    </row>
    <row r="35" spans="1:32" ht="15.75" hidden="1" thickBot="1" x14ac:dyDescent="0.25">
      <c r="A35" s="89"/>
      <c r="B35" s="103" t="s">
        <v>80</v>
      </c>
      <c r="C35" s="104"/>
      <c r="D35" s="104"/>
      <c r="E35" s="105"/>
      <c r="F35" s="106" t="s">
        <v>81</v>
      </c>
      <c r="G35" s="107"/>
      <c r="H35" s="108" t="s">
        <v>82</v>
      </c>
      <c r="I35" s="109"/>
      <c r="J35" s="110"/>
      <c r="K35" s="34"/>
      <c r="L35" s="34"/>
      <c r="M35" s="211"/>
      <c r="N35" s="205"/>
      <c r="O35" s="206"/>
      <c r="P35" s="206"/>
      <c r="Q35" s="210" t="e">
        <f>IF(Q$56=100,(Q51),IF(R$56=100,(R51),IF(S$56=100,(S51),IF(T$56=100,(T51),IF(U$56=100,(U51),IF(V$56=100,(V51),IF(W56=100,(W51),(W51))))))))</f>
        <v>#VALUE!</v>
      </c>
      <c r="R35" s="210" t="e">
        <f>LARGE(Q$43:Q$55,6)</f>
        <v>#VALUE!</v>
      </c>
      <c r="S35" s="210" t="e">
        <f>IF(V56&lt;100,(R35+0.1),IF(V56&gt;100,(R35-0.1),R35))</f>
        <v>#VALUE!</v>
      </c>
      <c r="AA35" s="97"/>
      <c r="AB35" s="97"/>
      <c r="AC35" s="97"/>
      <c r="AD35" s="97"/>
      <c r="AE35" s="26"/>
      <c r="AF35" s="26"/>
    </row>
    <row r="36" spans="1:32" hidden="1" x14ac:dyDescent="0.2">
      <c r="A36" s="89"/>
      <c r="B36" s="112"/>
      <c r="C36" s="113"/>
      <c r="D36" s="114" t="s">
        <v>90</v>
      </c>
      <c r="E36" s="115"/>
      <c r="F36" s="116"/>
      <c r="G36" s="117"/>
      <c r="H36" s="117"/>
      <c r="I36" s="101"/>
      <c r="J36" s="101"/>
      <c r="K36" s="31"/>
      <c r="L36" s="31"/>
      <c r="M36" s="205"/>
      <c r="N36" s="205"/>
      <c r="O36" s="206"/>
      <c r="P36" s="206"/>
      <c r="Q36" s="210" t="e">
        <f>IF(Q$56=100,(Q52),IF(R$56=100,(R52),IF(S$56=100,(S52),IF(T$56=100,(T52),IF(U$56=100,(U52),IF(V$56=100,(V52),IF(W56=100,(W52),(W52))))))))</f>
        <v>#VALUE!</v>
      </c>
      <c r="R36" s="208"/>
      <c r="S36" s="208"/>
      <c r="U36" s="208"/>
      <c r="V36" s="208"/>
      <c r="W36" s="208"/>
      <c r="AA36" s="97"/>
      <c r="AB36" s="97"/>
      <c r="AC36" s="97"/>
      <c r="AD36" s="97"/>
      <c r="AE36" s="26"/>
      <c r="AF36" s="26"/>
    </row>
    <row r="37" spans="1:32" ht="15.75" hidden="1" thickBot="1" x14ac:dyDescent="0.25">
      <c r="A37" s="89"/>
      <c r="B37" s="112"/>
      <c r="C37" s="113"/>
      <c r="D37" s="114" t="s">
        <v>93</v>
      </c>
      <c r="E37" s="119"/>
      <c r="F37" s="116"/>
      <c r="G37" s="120"/>
      <c r="H37" s="116" t="s">
        <v>130</v>
      </c>
      <c r="I37" s="101"/>
      <c r="J37" s="101"/>
      <c r="K37" s="31"/>
      <c r="L37" s="31"/>
      <c r="M37" s="205"/>
      <c r="N37" s="205"/>
      <c r="O37" s="206"/>
      <c r="P37" s="206"/>
      <c r="Q37" s="210" t="e">
        <f>IF(Q$56=100,(Q53),IF(R$56=100,(R53),IF(S$56=100,(S53),IF(T$56=100,(T53),IF(U$56=100,(U53),IF(V$56=100,(V53),IF(W56=100,(W53),(W53))))))))</f>
        <v>#VALUE!</v>
      </c>
      <c r="R37" s="208"/>
      <c r="U37" s="208"/>
      <c r="V37" s="208"/>
      <c r="W37" s="208"/>
      <c r="AA37" s="97"/>
      <c r="AB37" s="97"/>
      <c r="AC37" s="97"/>
      <c r="AD37" s="97"/>
      <c r="AE37" s="26"/>
      <c r="AF37" s="26"/>
    </row>
    <row r="38" spans="1:32" hidden="1" x14ac:dyDescent="0.2">
      <c r="A38" s="89"/>
      <c r="B38" s="112"/>
      <c r="C38" s="113"/>
      <c r="D38" s="114" t="s">
        <v>131</v>
      </c>
      <c r="E38" s="121"/>
      <c r="F38" s="116"/>
      <c r="G38" s="116"/>
      <c r="H38" s="116" t="s">
        <v>132</v>
      </c>
      <c r="I38" s="101"/>
      <c r="J38" s="101"/>
      <c r="K38" s="31"/>
      <c r="L38" s="31"/>
      <c r="M38" s="205"/>
      <c r="N38" s="205"/>
      <c r="O38" s="206"/>
      <c r="P38" s="206"/>
      <c r="Q38" s="210" t="e">
        <f>IF(Q$56=100,(Q54),IF(R$56=100,(R54),IF(S$56=100,(S54),IF(T$56=100,(T54),IF(U$56=100,(U54),IF(V$56=100,(V54),IF(W56=100,(W54),(W54))))))))</f>
        <v>#VALUE!</v>
      </c>
      <c r="R38" s="208"/>
      <c r="S38" s="208"/>
      <c r="U38" s="208"/>
      <c r="V38" s="208"/>
      <c r="W38" s="208"/>
      <c r="AA38" s="97"/>
      <c r="AB38" s="97"/>
      <c r="AC38" s="97"/>
      <c r="AD38" s="97"/>
      <c r="AE38" s="26"/>
      <c r="AF38" s="26"/>
    </row>
    <row r="39" spans="1:32" hidden="1" x14ac:dyDescent="0.2">
      <c r="A39" s="89"/>
      <c r="B39" s="112"/>
      <c r="C39" s="122"/>
      <c r="D39" s="114" t="s">
        <v>133</v>
      </c>
      <c r="E39" s="121"/>
      <c r="F39" s="116"/>
      <c r="G39" s="117"/>
      <c r="H39" s="117"/>
      <c r="I39" s="101"/>
      <c r="J39" s="101"/>
      <c r="K39" s="31"/>
      <c r="L39" s="31"/>
      <c r="M39" s="205"/>
      <c r="N39" s="205"/>
      <c r="O39" s="206"/>
      <c r="P39" s="206"/>
      <c r="Q39" s="210" t="e">
        <f>IF(Q$56=100,(Q55),IF(R$56=100,(R55),IF(S$56=100,(S55),IF(T$56=100,(T55),IF(U$56=100,(U55),IF(V$56=100,(V55),IF(W56=100,(W55),(W55))))))))</f>
        <v>#VALUE!</v>
      </c>
      <c r="R39" s="208"/>
      <c r="S39" s="208"/>
      <c r="U39" s="208"/>
      <c r="V39" s="208"/>
      <c r="W39" s="208"/>
      <c r="AA39" s="97"/>
      <c r="AB39" s="97"/>
      <c r="AC39" s="97"/>
      <c r="AD39" s="97"/>
      <c r="AE39" s="26"/>
      <c r="AF39" s="26"/>
    </row>
    <row r="40" spans="1:32" hidden="1" x14ac:dyDescent="0.2">
      <c r="A40" s="89"/>
      <c r="B40" s="123"/>
      <c r="C40" s="124" t="s">
        <v>99</v>
      </c>
      <c r="D40" s="125"/>
      <c r="E40" s="126" t="str">
        <f>IF(E39="","",ROUND(SUM(E38/E39),4))</f>
        <v/>
      </c>
      <c r="F40" s="116"/>
      <c r="G40" s="116"/>
      <c r="H40" s="116"/>
      <c r="I40" s="116"/>
      <c r="J40" s="116"/>
      <c r="K40" s="31"/>
      <c r="L40" s="31"/>
      <c r="M40" s="212"/>
      <c r="N40" s="212"/>
      <c r="O40" s="209"/>
      <c r="P40" s="209"/>
      <c r="Q40" s="210" t="e">
        <f>SUM(Q26:Q39)</f>
        <v>#VALUE!</v>
      </c>
      <c r="T40" s="208"/>
      <c r="U40" s="208"/>
      <c r="V40" s="208"/>
      <c r="W40" s="208"/>
      <c r="AA40" s="97"/>
      <c r="AB40" s="97"/>
      <c r="AC40" s="97"/>
      <c r="AD40" s="97"/>
      <c r="AE40" s="26"/>
      <c r="AF40" s="26"/>
    </row>
    <row r="41" spans="1:32" hidden="1" x14ac:dyDescent="0.2">
      <c r="A41" s="89"/>
      <c r="B41" s="332"/>
      <c r="C41" s="333"/>
      <c r="D41" s="127" t="s">
        <v>101</v>
      </c>
      <c r="E41" s="128" t="s">
        <v>102</v>
      </c>
      <c r="F41" s="129" t="s">
        <v>57</v>
      </c>
      <c r="G41" s="129" t="s">
        <v>57</v>
      </c>
      <c r="H41" s="130" t="s">
        <v>103</v>
      </c>
      <c r="I41" s="131"/>
      <c r="J41" s="131"/>
      <c r="K41" s="34"/>
      <c r="L41" s="34"/>
      <c r="M41" s="205"/>
      <c r="N41" s="205"/>
      <c r="O41" s="206"/>
      <c r="P41" s="206"/>
      <c r="Q41" s="210" t="s">
        <v>57</v>
      </c>
      <c r="AA41" s="97"/>
      <c r="AB41" s="97"/>
      <c r="AC41" s="97"/>
      <c r="AD41" s="97"/>
      <c r="AE41" s="26"/>
      <c r="AF41" s="26"/>
    </row>
    <row r="42" spans="1:32" hidden="1" x14ac:dyDescent="0.2">
      <c r="A42" s="89"/>
      <c r="B42" s="334" t="s">
        <v>110</v>
      </c>
      <c r="C42" s="335"/>
      <c r="D42" s="132" t="s">
        <v>134</v>
      </c>
      <c r="E42" s="133" t="s">
        <v>111</v>
      </c>
      <c r="F42" s="133" t="s">
        <v>112</v>
      </c>
      <c r="G42" s="133" t="s">
        <v>113</v>
      </c>
      <c r="H42" s="134" t="s">
        <v>114</v>
      </c>
      <c r="I42" s="131"/>
      <c r="J42" s="131"/>
      <c r="K42" s="89"/>
      <c r="L42" s="89"/>
      <c r="M42" s="205"/>
      <c r="N42" s="205"/>
      <c r="O42" s="206"/>
      <c r="P42" s="206"/>
      <c r="Q42" s="210" t="s">
        <v>112</v>
      </c>
      <c r="AA42" s="97"/>
      <c r="AB42" s="97"/>
      <c r="AC42" s="97"/>
      <c r="AD42" s="97"/>
      <c r="AE42" s="26"/>
      <c r="AF42" s="26"/>
    </row>
    <row r="43" spans="1:32" hidden="1" x14ac:dyDescent="0.2">
      <c r="A43" s="89"/>
      <c r="B43" s="135" t="s">
        <v>29</v>
      </c>
      <c r="C43" s="136" t="s">
        <v>135</v>
      </c>
      <c r="D43" s="137"/>
      <c r="E43" s="138"/>
      <c r="F43" s="139" t="str">
        <f>IF(E43="","",(Q43))</f>
        <v/>
      </c>
      <c r="G43" s="140" t="str">
        <f>IF(F57="","",100)</f>
        <v/>
      </c>
      <c r="H43" s="141" t="str">
        <f>IF(G43="","",IF(G43&gt;=10,ROUND(G43,0),ROUND(G43,1)))</f>
        <v/>
      </c>
      <c r="I43" s="95"/>
      <c r="J43" s="95"/>
      <c r="K43" s="89"/>
      <c r="L43" s="89"/>
      <c r="M43" s="205"/>
      <c r="N43" s="205"/>
      <c r="O43" s="206"/>
      <c r="P43" s="206"/>
      <c r="Q43" s="210" t="e">
        <f t="shared" ref="Q43:Q54" si="22">ROUND(IF(E43="","",SUM(E43/$E$36)*100),1)</f>
        <v>#VALUE!</v>
      </c>
      <c r="R43" s="210" t="s">
        <v>120</v>
      </c>
      <c r="S43" s="210">
        <v>2</v>
      </c>
      <c r="T43" s="210" t="s">
        <v>121</v>
      </c>
      <c r="U43" s="210" t="s">
        <v>122</v>
      </c>
      <c r="V43" s="210" t="s">
        <v>123</v>
      </c>
      <c r="W43" s="210">
        <v>6</v>
      </c>
      <c r="AA43" s="97"/>
      <c r="AB43" s="97"/>
      <c r="AC43" s="97"/>
      <c r="AD43" s="97"/>
      <c r="AE43" s="26"/>
      <c r="AF43" s="26"/>
    </row>
    <row r="44" spans="1:32" hidden="1" x14ac:dyDescent="0.2">
      <c r="A44" s="89"/>
      <c r="B44" s="135" t="s">
        <v>136</v>
      </c>
      <c r="C44" s="136" t="s">
        <v>137</v>
      </c>
      <c r="D44" s="137"/>
      <c r="E44" s="138"/>
      <c r="F44" s="139" t="str">
        <f>IF(E44="","",(Q28))</f>
        <v/>
      </c>
      <c r="G44" s="139" t="str">
        <f>IF(G43="","",SUM(G43-F44))</f>
        <v/>
      </c>
      <c r="H44" s="141" t="str">
        <f t="shared" ref="H44:H54" si="23">IF(G44="","",IF(G44&gt;=10,ROUND(G44,0),ROUND(G44,1)))</f>
        <v/>
      </c>
      <c r="I44" s="95"/>
      <c r="J44" s="95"/>
      <c r="K44" s="89"/>
      <c r="L44" s="89"/>
      <c r="M44" s="205"/>
      <c r="N44" s="205"/>
      <c r="O44" s="206"/>
      <c r="P44" s="206"/>
      <c r="Q44" s="210" t="e">
        <f t="shared" si="22"/>
        <v>#VALUE!</v>
      </c>
      <c r="R44" s="210" t="e">
        <f t="shared" ref="R44:R55" si="24">ROUND(IF(Q44=R$30,S$30,Q44),1)</f>
        <v>#VALUE!</v>
      </c>
      <c r="S44" s="210" t="e">
        <f t="shared" ref="S44:S55" si="25">ROUND(IF(R44=R$31,S$31,R44),1)</f>
        <v>#VALUE!</v>
      </c>
      <c r="T44" s="210" t="e">
        <f t="shared" ref="T44:T54" si="26">ROUND(IF(S44=R$32,S$32,S44),1)</f>
        <v>#VALUE!</v>
      </c>
      <c r="U44" s="210" t="e">
        <f t="shared" ref="U44:U54" si="27">ROUND(IF(T44=R$33,S$33,T44),1)</f>
        <v>#VALUE!</v>
      </c>
      <c r="V44" s="210" t="e">
        <f t="shared" ref="V44:V54" si="28">ROUND(IF(U44=R$34,S$34,U44),1)</f>
        <v>#VALUE!</v>
      </c>
      <c r="W44" s="210" t="e">
        <f t="shared" ref="W44:W54" si="29">ROUND(IF(V44=R$35,S$35,V44),1)</f>
        <v>#VALUE!</v>
      </c>
      <c r="AA44" s="97"/>
      <c r="AB44" s="97"/>
      <c r="AC44" s="97"/>
      <c r="AD44" s="97"/>
      <c r="AE44" s="26"/>
      <c r="AF44" s="26"/>
    </row>
    <row r="45" spans="1:32" hidden="1" x14ac:dyDescent="0.2">
      <c r="A45" s="89"/>
      <c r="B45" s="135" t="s">
        <v>31</v>
      </c>
      <c r="C45" s="136" t="s">
        <v>138</v>
      </c>
      <c r="D45" s="137"/>
      <c r="E45" s="138"/>
      <c r="F45" s="139" t="str">
        <f>IF(E45="","",(Q29))</f>
        <v/>
      </c>
      <c r="G45" s="139" t="str">
        <f t="shared" ref="G45:G52" si="30">IF(G44="","",SUM(G44-F45))</f>
        <v/>
      </c>
      <c r="H45" s="141" t="str">
        <f t="shared" si="23"/>
        <v/>
      </c>
      <c r="I45" s="95"/>
      <c r="J45" s="95"/>
      <c r="K45" s="89"/>
      <c r="L45" s="89"/>
      <c r="M45" s="205"/>
      <c r="N45" s="205"/>
      <c r="O45" s="206"/>
      <c r="P45" s="206"/>
      <c r="Q45" s="210" t="e">
        <f t="shared" si="22"/>
        <v>#VALUE!</v>
      </c>
      <c r="R45" s="210" t="e">
        <f t="shared" si="24"/>
        <v>#VALUE!</v>
      </c>
      <c r="S45" s="210" t="e">
        <f t="shared" si="25"/>
        <v>#VALUE!</v>
      </c>
      <c r="T45" s="210" t="e">
        <f t="shared" si="26"/>
        <v>#VALUE!</v>
      </c>
      <c r="U45" s="210" t="e">
        <f t="shared" si="27"/>
        <v>#VALUE!</v>
      </c>
      <c r="V45" s="210" t="e">
        <f t="shared" si="28"/>
        <v>#VALUE!</v>
      </c>
      <c r="W45" s="210" t="e">
        <f t="shared" si="29"/>
        <v>#VALUE!</v>
      </c>
      <c r="AA45" s="97"/>
      <c r="AB45" s="97"/>
      <c r="AC45" s="97"/>
      <c r="AD45" s="97"/>
      <c r="AE45" s="26"/>
      <c r="AF45" s="26"/>
    </row>
    <row r="46" spans="1:32" hidden="1" x14ac:dyDescent="0.2">
      <c r="A46" s="89"/>
      <c r="B46" s="135" t="s">
        <v>32</v>
      </c>
      <c r="C46" s="136" t="s">
        <v>139</v>
      </c>
      <c r="D46" s="137"/>
      <c r="E46" s="138"/>
      <c r="F46" s="139" t="str">
        <f>IF(E46="","",(Q30))</f>
        <v/>
      </c>
      <c r="G46" s="139" t="str">
        <f t="shared" si="30"/>
        <v/>
      </c>
      <c r="H46" s="141" t="str">
        <f t="shared" si="23"/>
        <v/>
      </c>
      <c r="I46" s="95"/>
      <c r="J46" s="95"/>
      <c r="K46" s="89"/>
      <c r="L46" s="89"/>
      <c r="M46" s="205"/>
      <c r="N46" s="205"/>
      <c r="O46" s="206"/>
      <c r="P46" s="206"/>
      <c r="Q46" s="210" t="e">
        <f t="shared" si="22"/>
        <v>#VALUE!</v>
      </c>
      <c r="R46" s="210" t="e">
        <f t="shared" si="24"/>
        <v>#VALUE!</v>
      </c>
      <c r="S46" s="210" t="e">
        <f t="shared" si="25"/>
        <v>#VALUE!</v>
      </c>
      <c r="T46" s="210" t="e">
        <f t="shared" si="26"/>
        <v>#VALUE!</v>
      </c>
      <c r="U46" s="210" t="e">
        <f t="shared" si="27"/>
        <v>#VALUE!</v>
      </c>
      <c r="V46" s="210" t="e">
        <f t="shared" si="28"/>
        <v>#VALUE!</v>
      </c>
      <c r="W46" s="210" t="e">
        <f t="shared" si="29"/>
        <v>#VALUE!</v>
      </c>
      <c r="AA46" s="97"/>
      <c r="AB46" s="97"/>
      <c r="AC46" s="97"/>
      <c r="AD46" s="97"/>
      <c r="AE46" s="26"/>
      <c r="AF46" s="26"/>
    </row>
    <row r="47" spans="1:32" hidden="1" x14ac:dyDescent="0.2">
      <c r="A47" s="89"/>
      <c r="B47" s="135" t="s">
        <v>33</v>
      </c>
      <c r="C47" s="136" t="s">
        <v>140</v>
      </c>
      <c r="D47" s="137"/>
      <c r="E47" s="138"/>
      <c r="F47" s="139" t="str">
        <f>IF(E47="","",(Q31))</f>
        <v/>
      </c>
      <c r="G47" s="139" t="str">
        <f t="shared" si="30"/>
        <v/>
      </c>
      <c r="H47" s="141" t="str">
        <f t="shared" si="23"/>
        <v/>
      </c>
      <c r="I47" s="95"/>
      <c r="J47" s="95"/>
      <c r="K47" s="89"/>
      <c r="L47" s="89"/>
      <c r="M47" s="205"/>
      <c r="N47" s="205"/>
      <c r="O47" s="206"/>
      <c r="P47" s="206"/>
      <c r="Q47" s="210" t="e">
        <f t="shared" si="22"/>
        <v>#VALUE!</v>
      </c>
      <c r="R47" s="210" t="e">
        <f t="shared" si="24"/>
        <v>#VALUE!</v>
      </c>
      <c r="S47" s="210" t="e">
        <f t="shared" si="25"/>
        <v>#VALUE!</v>
      </c>
      <c r="T47" s="210" t="e">
        <f t="shared" si="26"/>
        <v>#VALUE!</v>
      </c>
      <c r="U47" s="210" t="e">
        <f t="shared" si="27"/>
        <v>#VALUE!</v>
      </c>
      <c r="V47" s="210" t="e">
        <f t="shared" si="28"/>
        <v>#VALUE!</v>
      </c>
      <c r="W47" s="210" t="e">
        <f t="shared" si="29"/>
        <v>#VALUE!</v>
      </c>
      <c r="AA47" s="97"/>
      <c r="AB47" s="97"/>
      <c r="AC47" s="97"/>
      <c r="AD47" s="97"/>
      <c r="AE47" s="26"/>
      <c r="AF47" s="26"/>
    </row>
    <row r="48" spans="1:32" hidden="1" x14ac:dyDescent="0.2">
      <c r="A48" s="89"/>
      <c r="B48" s="135" t="s">
        <v>141</v>
      </c>
      <c r="C48" s="136" t="s">
        <v>142</v>
      </c>
      <c r="D48" s="137"/>
      <c r="E48" s="138"/>
      <c r="F48" s="139" t="str">
        <f>IF(E48="","",(Q32))</f>
        <v/>
      </c>
      <c r="G48" s="139" t="str">
        <f t="shared" si="30"/>
        <v/>
      </c>
      <c r="H48" s="141" t="str">
        <f t="shared" si="23"/>
        <v/>
      </c>
      <c r="I48" s="95"/>
      <c r="J48" s="95"/>
      <c r="K48" s="89"/>
      <c r="L48" s="89"/>
      <c r="M48" s="205"/>
      <c r="N48" s="205"/>
      <c r="O48" s="206"/>
      <c r="P48" s="206"/>
      <c r="Q48" s="210" t="e">
        <f t="shared" si="22"/>
        <v>#VALUE!</v>
      </c>
      <c r="R48" s="210" t="e">
        <f t="shared" si="24"/>
        <v>#VALUE!</v>
      </c>
      <c r="S48" s="210" t="e">
        <f t="shared" si="25"/>
        <v>#VALUE!</v>
      </c>
      <c r="T48" s="210" t="e">
        <f t="shared" si="26"/>
        <v>#VALUE!</v>
      </c>
      <c r="U48" s="210" t="e">
        <f t="shared" si="27"/>
        <v>#VALUE!</v>
      </c>
      <c r="V48" s="210" t="e">
        <f t="shared" si="28"/>
        <v>#VALUE!</v>
      </c>
      <c r="W48" s="210" t="e">
        <f t="shared" si="29"/>
        <v>#VALUE!</v>
      </c>
      <c r="AA48" s="97"/>
      <c r="AB48" s="97"/>
      <c r="AC48" s="97"/>
      <c r="AD48" s="97"/>
      <c r="AE48" s="26"/>
      <c r="AF48" s="26"/>
    </row>
    <row r="49" spans="1:32" hidden="1" x14ac:dyDescent="0.2">
      <c r="A49" s="89"/>
      <c r="B49" s="135" t="s">
        <v>143</v>
      </c>
      <c r="C49" s="136" t="s">
        <v>144</v>
      </c>
      <c r="D49" s="142"/>
      <c r="E49" s="138" t="str">
        <f>IF(D49="","",ROUND(SUM(D49*E$40),1))</f>
        <v/>
      </c>
      <c r="F49" s="139" t="str">
        <f t="shared" ref="F49:F55" si="31">IF(E49="","",(Q33))</f>
        <v/>
      </c>
      <c r="G49" s="139" t="str">
        <f t="shared" si="30"/>
        <v/>
      </c>
      <c r="H49" s="141" t="str">
        <f t="shared" si="23"/>
        <v/>
      </c>
      <c r="I49" s="95"/>
      <c r="J49" s="95"/>
      <c r="K49" s="89"/>
      <c r="L49" s="89"/>
      <c r="M49" s="205"/>
      <c r="N49" s="205"/>
      <c r="O49" s="206"/>
      <c r="P49" s="209"/>
      <c r="Q49" s="210" t="e">
        <f t="shared" si="22"/>
        <v>#VALUE!</v>
      </c>
      <c r="R49" s="210" t="e">
        <f t="shared" si="24"/>
        <v>#VALUE!</v>
      </c>
      <c r="S49" s="210" t="e">
        <f t="shared" si="25"/>
        <v>#VALUE!</v>
      </c>
      <c r="T49" s="210" t="e">
        <f t="shared" si="26"/>
        <v>#VALUE!</v>
      </c>
      <c r="U49" s="210" t="e">
        <f t="shared" si="27"/>
        <v>#VALUE!</v>
      </c>
      <c r="V49" s="210" t="e">
        <f t="shared" si="28"/>
        <v>#VALUE!</v>
      </c>
      <c r="W49" s="210" t="e">
        <f t="shared" si="29"/>
        <v>#VALUE!</v>
      </c>
      <c r="AA49" s="97"/>
      <c r="AB49" s="97"/>
      <c r="AC49" s="97"/>
      <c r="AD49" s="97"/>
      <c r="AE49" s="26"/>
      <c r="AF49" s="26"/>
    </row>
    <row r="50" spans="1:32" hidden="1" x14ac:dyDescent="0.2">
      <c r="A50" s="89"/>
      <c r="B50" s="135" t="s">
        <v>145</v>
      </c>
      <c r="C50" s="136" t="s">
        <v>146</v>
      </c>
      <c r="D50" s="142"/>
      <c r="E50" s="138" t="str">
        <f t="shared" ref="E50:E55" si="32">IF(D50="","",ROUND(SUM(D50*E$40),1))</f>
        <v/>
      </c>
      <c r="F50" s="139" t="str">
        <f t="shared" si="31"/>
        <v/>
      </c>
      <c r="G50" s="139" t="str">
        <f t="shared" si="30"/>
        <v/>
      </c>
      <c r="H50" s="141" t="str">
        <f t="shared" si="23"/>
        <v/>
      </c>
      <c r="I50" s="95"/>
      <c r="J50" s="95"/>
      <c r="K50" s="89"/>
      <c r="L50" s="89"/>
      <c r="M50" s="205"/>
      <c r="N50" s="205"/>
      <c r="O50" s="206"/>
      <c r="P50" s="206"/>
      <c r="Q50" s="210" t="e">
        <f t="shared" si="22"/>
        <v>#VALUE!</v>
      </c>
      <c r="R50" s="210" t="e">
        <f t="shared" si="24"/>
        <v>#VALUE!</v>
      </c>
      <c r="S50" s="210" t="e">
        <f t="shared" si="25"/>
        <v>#VALUE!</v>
      </c>
      <c r="T50" s="210" t="e">
        <f t="shared" si="26"/>
        <v>#VALUE!</v>
      </c>
      <c r="U50" s="210" t="e">
        <f t="shared" si="27"/>
        <v>#VALUE!</v>
      </c>
      <c r="V50" s="210" t="e">
        <f t="shared" si="28"/>
        <v>#VALUE!</v>
      </c>
      <c r="W50" s="210" t="e">
        <f t="shared" si="29"/>
        <v>#VALUE!</v>
      </c>
      <c r="AA50" s="97"/>
      <c r="AB50" s="97"/>
      <c r="AC50" s="97"/>
      <c r="AD50" s="97"/>
      <c r="AE50" s="26"/>
      <c r="AF50" s="26"/>
    </row>
    <row r="51" spans="1:32" hidden="1" x14ac:dyDescent="0.2">
      <c r="A51" s="89"/>
      <c r="B51" s="135" t="s">
        <v>147</v>
      </c>
      <c r="C51" s="136" t="str">
        <f>"600 "&amp;CHAR(181)&amp;"m"</f>
        <v>600 µm</v>
      </c>
      <c r="D51" s="142"/>
      <c r="E51" s="138" t="str">
        <f t="shared" si="32"/>
        <v/>
      </c>
      <c r="F51" s="139" t="str">
        <f t="shared" si="31"/>
        <v/>
      </c>
      <c r="G51" s="139" t="str">
        <f t="shared" si="30"/>
        <v/>
      </c>
      <c r="H51" s="141" t="str">
        <f t="shared" si="23"/>
        <v/>
      </c>
      <c r="I51" s="95"/>
      <c r="J51" s="95"/>
      <c r="K51" s="89"/>
      <c r="L51" s="89"/>
      <c r="M51" s="205"/>
      <c r="N51" s="205"/>
      <c r="O51" s="206"/>
      <c r="P51" s="206"/>
      <c r="Q51" s="210" t="e">
        <f t="shared" si="22"/>
        <v>#VALUE!</v>
      </c>
      <c r="R51" s="210" t="e">
        <f t="shared" si="24"/>
        <v>#VALUE!</v>
      </c>
      <c r="S51" s="210" t="e">
        <f t="shared" si="25"/>
        <v>#VALUE!</v>
      </c>
      <c r="T51" s="210" t="e">
        <f t="shared" si="26"/>
        <v>#VALUE!</v>
      </c>
      <c r="U51" s="210" t="e">
        <f t="shared" si="27"/>
        <v>#VALUE!</v>
      </c>
      <c r="V51" s="210" t="e">
        <f t="shared" si="28"/>
        <v>#VALUE!</v>
      </c>
      <c r="W51" s="210" t="e">
        <f t="shared" si="29"/>
        <v>#VALUE!</v>
      </c>
      <c r="AA51" s="97"/>
      <c r="AB51" s="97"/>
      <c r="AC51" s="97"/>
      <c r="AD51" s="97"/>
      <c r="AE51" s="26"/>
      <c r="AF51" s="26"/>
    </row>
    <row r="52" spans="1:32" hidden="1" x14ac:dyDescent="0.2">
      <c r="A52" s="89"/>
      <c r="B52" s="135" t="s">
        <v>148</v>
      </c>
      <c r="C52" s="136" t="str">
        <f>"300 "&amp;CHAR(181)&amp;"m"</f>
        <v>300 µm</v>
      </c>
      <c r="D52" s="142"/>
      <c r="E52" s="138" t="str">
        <f t="shared" si="32"/>
        <v/>
      </c>
      <c r="F52" s="139" t="str">
        <f t="shared" si="31"/>
        <v/>
      </c>
      <c r="G52" s="139" t="str">
        <f t="shared" si="30"/>
        <v/>
      </c>
      <c r="H52" s="141" t="str">
        <f t="shared" si="23"/>
        <v/>
      </c>
      <c r="I52" s="95"/>
      <c r="J52" s="95"/>
      <c r="K52" s="89"/>
      <c r="L52" s="89"/>
      <c r="M52" s="205"/>
      <c r="N52" s="205"/>
      <c r="O52" s="206"/>
      <c r="P52" s="209"/>
      <c r="Q52" s="210" t="e">
        <f t="shared" si="22"/>
        <v>#VALUE!</v>
      </c>
      <c r="R52" s="210" t="e">
        <f t="shared" si="24"/>
        <v>#VALUE!</v>
      </c>
      <c r="S52" s="210" t="e">
        <f t="shared" si="25"/>
        <v>#VALUE!</v>
      </c>
      <c r="T52" s="210" t="e">
        <f t="shared" si="26"/>
        <v>#VALUE!</v>
      </c>
      <c r="U52" s="210" t="e">
        <f t="shared" si="27"/>
        <v>#VALUE!</v>
      </c>
      <c r="V52" s="210" t="e">
        <f t="shared" si="28"/>
        <v>#VALUE!</v>
      </c>
      <c r="W52" s="210" t="e">
        <f t="shared" si="29"/>
        <v>#VALUE!</v>
      </c>
      <c r="AA52" s="97"/>
      <c r="AB52" s="97"/>
      <c r="AC52" s="97"/>
      <c r="AD52" s="97"/>
      <c r="AE52" s="26"/>
      <c r="AF52" s="26"/>
    </row>
    <row r="53" spans="1:32" hidden="1" x14ac:dyDescent="0.2">
      <c r="A53" s="89"/>
      <c r="B53" s="135" t="s">
        <v>149</v>
      </c>
      <c r="C53" s="136" t="str">
        <f>"150 "&amp;CHAR(181)&amp;"m"</f>
        <v>150 µm</v>
      </c>
      <c r="D53" s="142"/>
      <c r="E53" s="138" t="str">
        <f t="shared" si="32"/>
        <v/>
      </c>
      <c r="F53" s="139" t="str">
        <f t="shared" si="31"/>
        <v/>
      </c>
      <c r="G53" s="139" t="str">
        <f>IF(G52="","",SUM(G52-F53))</f>
        <v/>
      </c>
      <c r="H53" s="141" t="str">
        <f t="shared" si="23"/>
        <v/>
      </c>
      <c r="I53" s="95"/>
      <c r="J53" s="95"/>
      <c r="K53" s="89"/>
      <c r="L53" s="89"/>
      <c r="M53" s="205"/>
      <c r="N53" s="205"/>
      <c r="O53" s="206"/>
      <c r="P53" s="209"/>
      <c r="Q53" s="210" t="e">
        <f t="shared" si="22"/>
        <v>#VALUE!</v>
      </c>
      <c r="R53" s="210" t="e">
        <f t="shared" si="24"/>
        <v>#VALUE!</v>
      </c>
      <c r="S53" s="210" t="e">
        <f t="shared" si="25"/>
        <v>#VALUE!</v>
      </c>
      <c r="T53" s="210" t="e">
        <f t="shared" si="26"/>
        <v>#VALUE!</v>
      </c>
      <c r="U53" s="210" t="e">
        <f t="shared" si="27"/>
        <v>#VALUE!</v>
      </c>
      <c r="V53" s="210" t="e">
        <f t="shared" si="28"/>
        <v>#VALUE!</v>
      </c>
      <c r="W53" s="210" t="e">
        <f t="shared" si="29"/>
        <v>#VALUE!</v>
      </c>
      <c r="AA53" s="97"/>
      <c r="AB53" s="97"/>
      <c r="AC53" s="97"/>
      <c r="AD53" s="97"/>
      <c r="AE53" s="26"/>
      <c r="AF53" s="26"/>
    </row>
    <row r="54" spans="1:32" ht="15.75" hidden="1" thickBot="1" x14ac:dyDescent="0.25">
      <c r="A54" s="89"/>
      <c r="B54" s="135" t="s">
        <v>150</v>
      </c>
      <c r="C54" s="136" t="str">
        <f>"75 "&amp;CHAR(181)&amp;"m"</f>
        <v>75 µm</v>
      </c>
      <c r="D54" s="142"/>
      <c r="E54" s="138" t="str">
        <f t="shared" si="32"/>
        <v/>
      </c>
      <c r="F54" s="139" t="str">
        <f t="shared" si="31"/>
        <v/>
      </c>
      <c r="G54" s="143" t="str">
        <f>IF(G53="","",SUM(G53-F54))</f>
        <v/>
      </c>
      <c r="H54" s="144" t="str">
        <f t="shared" si="23"/>
        <v/>
      </c>
      <c r="I54" s="95"/>
      <c r="J54" s="95"/>
      <c r="K54" s="89"/>
      <c r="L54" s="89"/>
      <c r="M54" s="205"/>
      <c r="N54" s="205"/>
      <c r="O54" s="206"/>
      <c r="P54" s="209"/>
      <c r="Q54" s="210" t="e">
        <f t="shared" si="22"/>
        <v>#VALUE!</v>
      </c>
      <c r="R54" s="210" t="e">
        <f t="shared" si="24"/>
        <v>#VALUE!</v>
      </c>
      <c r="S54" s="210" t="e">
        <f t="shared" si="25"/>
        <v>#VALUE!</v>
      </c>
      <c r="T54" s="210" t="e">
        <f t="shared" si="26"/>
        <v>#VALUE!</v>
      </c>
      <c r="U54" s="210" t="e">
        <f t="shared" si="27"/>
        <v>#VALUE!</v>
      </c>
      <c r="V54" s="210" t="e">
        <f t="shared" si="28"/>
        <v>#VALUE!</v>
      </c>
      <c r="W54" s="210" t="e">
        <f t="shared" si="29"/>
        <v>#VALUE!</v>
      </c>
      <c r="AA54" s="97"/>
      <c r="AB54" s="97"/>
      <c r="AC54" s="97"/>
      <c r="AD54" s="97"/>
      <c r="AE54" s="26"/>
      <c r="AF54" s="26"/>
    </row>
    <row r="55" spans="1:32" ht="15.75" hidden="1" thickBot="1" x14ac:dyDescent="0.25">
      <c r="A55" s="89"/>
      <c r="B55" s="319" t="s">
        <v>126</v>
      </c>
      <c r="C55" s="320"/>
      <c r="D55" s="142"/>
      <c r="E55" s="138" t="str">
        <f t="shared" si="32"/>
        <v/>
      </c>
      <c r="F55" s="145" t="str">
        <f t="shared" si="31"/>
        <v/>
      </c>
      <c r="G55" s="75"/>
      <c r="H55" s="75"/>
      <c r="I55" s="76"/>
      <c r="J55" s="76"/>
      <c r="K55" s="89"/>
      <c r="L55" s="89"/>
      <c r="M55" s="205"/>
      <c r="N55" s="205"/>
      <c r="O55" s="206"/>
      <c r="P55" s="209"/>
      <c r="Q55" s="210" t="e">
        <f>ROUND(IF(E55="","",SUM((E55+E56)/$E$36)*100),1)</f>
        <v>#VALUE!</v>
      </c>
      <c r="R55" s="210" t="e">
        <f t="shared" si="24"/>
        <v>#VALUE!</v>
      </c>
      <c r="S55" s="210" t="e">
        <f t="shared" si="25"/>
        <v>#VALUE!</v>
      </c>
      <c r="T55" s="210" t="e">
        <f>ROUND(IF(S55=R$32,S$32,S55),1)</f>
        <v>#VALUE!</v>
      </c>
      <c r="U55" s="210" t="e">
        <f>ROUND(IF(T55=R$33,S$33,T55),1)</f>
        <v>#VALUE!</v>
      </c>
      <c r="V55" s="210" t="e">
        <f>ROUND(IF(U55=R$34,S$34,U55),1)</f>
        <v>#VALUE!</v>
      </c>
      <c r="W55" s="210" t="e">
        <f>ROUND(IF(V55=R$35,S$35,V55),1)</f>
        <v>#VALUE!</v>
      </c>
      <c r="AA55" s="97"/>
      <c r="AB55" s="97"/>
      <c r="AC55" s="97"/>
      <c r="AD55" s="97"/>
      <c r="AE55" s="26"/>
      <c r="AF55" s="26"/>
    </row>
    <row r="56" spans="1:32" ht="15.75" hidden="1" thickBot="1" x14ac:dyDescent="0.25">
      <c r="A56" s="89"/>
      <c r="B56" s="319" t="s">
        <v>127</v>
      </c>
      <c r="C56" s="320"/>
      <c r="D56" s="137"/>
      <c r="E56" s="146" t="str">
        <f>IF(E37="","",SUM(E36-E37))</f>
        <v/>
      </c>
      <c r="F56" s="147"/>
      <c r="G56" s="75"/>
      <c r="H56" s="81"/>
      <c r="I56" s="81"/>
      <c r="J56" s="81"/>
      <c r="K56" s="89"/>
      <c r="L56" s="89"/>
      <c r="M56" s="205"/>
      <c r="N56" s="205"/>
      <c r="O56" s="206"/>
      <c r="P56" s="206"/>
      <c r="Q56" s="210" t="e">
        <f>ROUND(SUM(Q43:Q55),1)</f>
        <v>#VALUE!</v>
      </c>
      <c r="R56" s="210" t="e">
        <f t="shared" ref="R56:W56" si="33">ROUND(IF(R55="","",SUM(R44:R55)),1)</f>
        <v>#VALUE!</v>
      </c>
      <c r="S56" s="210" t="e">
        <f t="shared" si="33"/>
        <v>#VALUE!</v>
      </c>
      <c r="T56" s="210" t="e">
        <f t="shared" si="33"/>
        <v>#VALUE!</v>
      </c>
      <c r="U56" s="210" t="e">
        <f t="shared" si="33"/>
        <v>#VALUE!</v>
      </c>
      <c r="V56" s="210" t="e">
        <f t="shared" si="33"/>
        <v>#VALUE!</v>
      </c>
      <c r="W56" s="210" t="e">
        <f t="shared" si="33"/>
        <v>#VALUE!</v>
      </c>
      <c r="AA56" s="97"/>
      <c r="AB56" s="97"/>
      <c r="AC56" s="97"/>
      <c r="AD56" s="97"/>
      <c r="AE56" s="26"/>
      <c r="AF56" s="26"/>
    </row>
    <row r="57" spans="1:32" ht="15.75" hidden="1" thickBot="1" x14ac:dyDescent="0.25">
      <c r="A57" s="89"/>
      <c r="B57" s="319" t="s">
        <v>128</v>
      </c>
      <c r="C57" s="320"/>
      <c r="D57" s="148" t="str">
        <f>IF(D55="","",SUM(D49:D55))</f>
        <v/>
      </c>
      <c r="E57" s="149" t="str">
        <f>IF(E55="","",SUM(E43:E56))</f>
        <v/>
      </c>
      <c r="F57" s="150" t="str">
        <f>IF(F55="","",SUM(F43:F55))</f>
        <v/>
      </c>
      <c r="G57" s="84"/>
      <c r="H57" s="81"/>
      <c r="I57" s="81"/>
      <c r="J57" s="81"/>
      <c r="K57" s="34"/>
      <c r="L57" s="34"/>
      <c r="M57" s="205"/>
      <c r="N57" s="205"/>
      <c r="O57" s="206"/>
      <c r="P57" s="206"/>
      <c r="AA57" s="97"/>
      <c r="AB57" s="97"/>
      <c r="AC57" s="97"/>
      <c r="AD57" s="97"/>
      <c r="AE57" s="26"/>
      <c r="AF57" s="26"/>
    </row>
    <row r="58" spans="1:32" ht="15.75" hidden="1" thickBot="1" x14ac:dyDescent="0.25">
      <c r="A58" s="89"/>
      <c r="B58" s="339" t="s">
        <v>129</v>
      </c>
      <c r="C58" s="340"/>
      <c r="D58" s="151" t="str">
        <f>IF(D57="","",ROUND((SUM(D57/E39)*100),1))</f>
        <v/>
      </c>
      <c r="E58" s="145" t="str">
        <f>IF(E57="","",ROUND((SUM(E57/E36)*100),1))</f>
        <v/>
      </c>
      <c r="F58" s="81"/>
      <c r="G58" s="81"/>
      <c r="H58" s="81"/>
      <c r="I58" s="81"/>
      <c r="J58" s="81"/>
      <c r="K58" s="34"/>
      <c r="L58" s="34"/>
      <c r="M58" s="205"/>
      <c r="N58" s="205"/>
      <c r="O58" s="206"/>
      <c r="P58" s="206"/>
      <c r="AA58" s="97"/>
      <c r="AB58" s="97"/>
      <c r="AC58" s="97"/>
      <c r="AD58" s="97"/>
      <c r="AE58" s="26"/>
      <c r="AF58" s="26"/>
    </row>
    <row r="59" spans="1:32" hidden="1" x14ac:dyDescent="0.2">
      <c r="A59" s="89"/>
      <c r="B59" s="89"/>
      <c r="C59" s="89"/>
      <c r="D59" s="89"/>
      <c r="E59" s="102"/>
      <c r="F59" s="102"/>
      <c r="G59" s="102"/>
      <c r="H59" s="102"/>
      <c r="I59" s="102"/>
      <c r="J59" s="102"/>
      <c r="K59" s="89"/>
      <c r="L59" s="89"/>
      <c r="M59" s="205"/>
      <c r="N59" s="205"/>
      <c r="O59" s="206"/>
      <c r="P59" s="206"/>
      <c r="AA59" s="97"/>
      <c r="AB59" s="97"/>
      <c r="AC59" s="97"/>
      <c r="AD59" s="97"/>
      <c r="AE59" s="26"/>
      <c r="AF59" s="26"/>
    </row>
    <row r="60" spans="1:32" hidden="1" x14ac:dyDescent="0.2">
      <c r="A60" s="89"/>
      <c r="B60" s="89"/>
      <c r="C60" s="89"/>
      <c r="D60" s="89"/>
      <c r="E60" s="102"/>
      <c r="F60" s="102"/>
      <c r="G60" s="102"/>
      <c r="H60" s="102"/>
      <c r="I60" s="102"/>
      <c r="J60" s="102"/>
      <c r="K60" s="89"/>
      <c r="L60" s="89"/>
      <c r="M60" s="205"/>
      <c r="N60" s="205"/>
      <c r="O60" s="206"/>
      <c r="P60" s="206"/>
      <c r="AA60" s="97"/>
      <c r="AB60" s="97"/>
      <c r="AC60" s="97"/>
      <c r="AD60" s="97"/>
      <c r="AE60" s="26"/>
      <c r="AF60" s="26"/>
    </row>
    <row r="61" spans="1:32" hidden="1" x14ac:dyDescent="0.2">
      <c r="A61" s="89"/>
      <c r="B61" s="89"/>
      <c r="C61" s="89"/>
      <c r="D61" s="89"/>
      <c r="E61" s="102"/>
      <c r="F61" s="102"/>
      <c r="G61" s="102"/>
      <c r="H61" s="102"/>
      <c r="I61" s="102"/>
      <c r="J61" s="102"/>
      <c r="K61" s="89"/>
      <c r="L61" s="89"/>
      <c r="M61" s="205"/>
      <c r="N61" s="205"/>
      <c r="O61" s="206"/>
      <c r="P61" s="206"/>
      <c r="AA61" s="97"/>
      <c r="AB61" s="97"/>
      <c r="AC61" s="97"/>
      <c r="AD61" s="97"/>
      <c r="AE61" s="26"/>
      <c r="AF61" s="26"/>
    </row>
    <row r="62" spans="1:32" hidden="1" x14ac:dyDescent="0.2">
      <c r="A62" s="89"/>
      <c r="B62" s="89"/>
      <c r="C62" s="89"/>
      <c r="D62" s="89"/>
      <c r="E62" s="102"/>
      <c r="F62" s="102"/>
      <c r="G62" s="102"/>
      <c r="H62" s="102"/>
      <c r="I62" s="102"/>
      <c r="J62" s="102"/>
      <c r="K62" s="89"/>
      <c r="L62" s="89"/>
      <c r="M62" s="205"/>
      <c r="N62" s="205"/>
      <c r="O62" s="206"/>
      <c r="P62" s="206"/>
      <c r="AA62" s="97"/>
      <c r="AB62" s="97"/>
      <c r="AC62" s="97"/>
      <c r="AD62" s="97"/>
      <c r="AE62" s="26"/>
      <c r="AF62" s="26"/>
    </row>
    <row r="63" spans="1:32" hidden="1" x14ac:dyDescent="0.2">
      <c r="A63" s="89"/>
      <c r="B63" s="89"/>
      <c r="C63" s="89"/>
      <c r="D63" s="89"/>
      <c r="E63" s="102"/>
      <c r="F63" s="102"/>
      <c r="G63" s="102"/>
      <c r="H63" s="102"/>
      <c r="I63" s="102"/>
      <c r="J63" s="102"/>
      <c r="K63" s="89"/>
      <c r="L63" s="89"/>
      <c r="M63" s="205"/>
      <c r="N63" s="205"/>
      <c r="O63" s="206"/>
      <c r="P63" s="206"/>
      <c r="AA63" s="97"/>
      <c r="AB63" s="97"/>
      <c r="AC63" s="97"/>
      <c r="AD63" s="97"/>
      <c r="AE63" s="26"/>
      <c r="AF63" s="26"/>
    </row>
    <row r="64" spans="1:32" hidden="1" x14ac:dyDescent="0.2">
      <c r="A64" s="89"/>
      <c r="B64" s="89"/>
      <c r="C64" s="89"/>
      <c r="D64" s="89"/>
      <c r="E64" s="102"/>
      <c r="F64" s="102"/>
      <c r="G64" s="102"/>
      <c r="H64" s="102"/>
      <c r="I64" s="102"/>
      <c r="J64" s="102"/>
      <c r="K64" s="89"/>
      <c r="L64" s="89"/>
      <c r="M64" s="205"/>
      <c r="N64" s="205"/>
      <c r="O64" s="206"/>
      <c r="P64" s="206"/>
      <c r="AA64" s="97"/>
      <c r="AB64" s="97"/>
      <c r="AC64" s="97"/>
      <c r="AD64" s="97"/>
      <c r="AE64" s="26"/>
      <c r="AF64" s="26"/>
    </row>
    <row r="65" spans="1:32" hidden="1" x14ac:dyDescent="0.2">
      <c r="A65" s="89"/>
      <c r="B65" s="89"/>
      <c r="C65" s="89"/>
      <c r="D65" s="89"/>
      <c r="E65" s="102"/>
      <c r="F65" s="102"/>
      <c r="G65" s="102"/>
      <c r="H65" s="102"/>
      <c r="I65" s="102"/>
      <c r="J65" s="102"/>
      <c r="K65" s="89"/>
      <c r="L65" s="89"/>
      <c r="M65" s="205"/>
      <c r="N65" s="205"/>
      <c r="O65" s="206"/>
      <c r="P65" s="206"/>
      <c r="AA65" s="97"/>
      <c r="AB65" s="97"/>
      <c r="AC65" s="97"/>
      <c r="AD65" s="97"/>
      <c r="AE65" s="26"/>
      <c r="AF65" s="26"/>
    </row>
    <row r="66" spans="1:32" hidden="1" x14ac:dyDescent="0.2">
      <c r="A66" s="89"/>
      <c r="B66" s="89"/>
      <c r="C66" s="89"/>
      <c r="D66" s="89"/>
      <c r="E66" s="102"/>
      <c r="F66" s="102"/>
      <c r="G66" s="102"/>
      <c r="H66" s="102"/>
      <c r="I66" s="102"/>
      <c r="J66" s="102"/>
      <c r="K66" s="89"/>
      <c r="L66" s="89"/>
      <c r="M66" s="205"/>
      <c r="N66" s="205"/>
      <c r="O66" s="206"/>
      <c r="P66" s="206"/>
      <c r="AA66" s="97"/>
      <c r="AB66" s="97"/>
      <c r="AC66" s="97"/>
      <c r="AD66" s="97"/>
      <c r="AE66" s="26"/>
      <c r="AF66" s="26"/>
    </row>
    <row r="67" spans="1:32" hidden="1" x14ac:dyDescent="0.2">
      <c r="A67" s="89"/>
      <c r="B67" s="89"/>
      <c r="C67" s="89"/>
      <c r="D67" s="89"/>
      <c r="E67" s="102"/>
      <c r="F67" s="102"/>
      <c r="G67" s="102"/>
      <c r="H67" s="102"/>
      <c r="I67" s="102"/>
      <c r="J67" s="102"/>
      <c r="K67" s="89"/>
      <c r="L67" s="89"/>
      <c r="M67" s="205"/>
      <c r="N67" s="205"/>
      <c r="O67" s="206"/>
      <c r="P67" s="206"/>
      <c r="AA67" s="97"/>
      <c r="AB67" s="97"/>
      <c r="AC67" s="97"/>
      <c r="AD67" s="97"/>
      <c r="AE67" s="26"/>
      <c r="AF67" s="26"/>
    </row>
    <row r="68" spans="1:32" hidden="1" x14ac:dyDescent="0.2">
      <c r="A68" s="89"/>
      <c r="B68" s="89"/>
      <c r="C68" s="89"/>
      <c r="D68" s="89"/>
      <c r="E68" s="102"/>
      <c r="F68" s="102"/>
      <c r="G68" s="102"/>
      <c r="H68" s="102"/>
      <c r="I68" s="102"/>
      <c r="J68" s="102"/>
      <c r="K68" s="89"/>
      <c r="L68" s="89"/>
      <c r="M68" s="205"/>
      <c r="N68" s="205"/>
      <c r="O68" s="206"/>
      <c r="P68" s="206"/>
      <c r="AA68" s="97"/>
      <c r="AB68" s="97"/>
      <c r="AC68" s="97"/>
      <c r="AD68" s="97"/>
      <c r="AE68" s="26"/>
      <c r="AF68" s="26"/>
    </row>
    <row r="69" spans="1:32" hidden="1" x14ac:dyDescent="0.2">
      <c r="A69" s="89"/>
      <c r="B69" s="89"/>
      <c r="C69" s="89"/>
      <c r="D69" s="89"/>
      <c r="E69" s="102"/>
      <c r="F69" s="102"/>
      <c r="G69" s="102"/>
      <c r="H69" s="102"/>
      <c r="I69" s="102"/>
      <c r="J69" s="102"/>
      <c r="K69" s="89"/>
      <c r="L69" s="89"/>
      <c r="M69" s="205"/>
      <c r="N69" s="205"/>
      <c r="O69" s="206"/>
      <c r="P69" s="206"/>
      <c r="AA69" s="97"/>
      <c r="AB69" s="97"/>
      <c r="AC69" s="97"/>
      <c r="AD69" s="97"/>
      <c r="AE69" s="26"/>
      <c r="AF69" s="26"/>
    </row>
    <row r="70" spans="1:32" hidden="1" x14ac:dyDescent="0.2">
      <c r="A70" s="89"/>
      <c r="B70" s="89"/>
      <c r="C70" s="89"/>
      <c r="D70" s="89"/>
      <c r="E70" s="102"/>
      <c r="F70" s="102"/>
      <c r="G70" s="102"/>
      <c r="H70" s="102"/>
      <c r="I70" s="102"/>
      <c r="J70" s="102"/>
      <c r="K70" s="89"/>
      <c r="L70" s="89"/>
      <c r="M70" s="205"/>
      <c r="N70" s="205"/>
      <c r="O70" s="206"/>
      <c r="P70" s="206"/>
      <c r="AA70" s="97"/>
      <c r="AB70" s="97"/>
      <c r="AC70" s="97"/>
      <c r="AD70" s="97"/>
      <c r="AE70" s="26"/>
      <c r="AF70" s="26"/>
    </row>
    <row r="71" spans="1:32" hidden="1" x14ac:dyDescent="0.2">
      <c r="A71" s="89"/>
      <c r="B71" s="89"/>
      <c r="C71" s="89"/>
      <c r="D71" s="89"/>
      <c r="E71" s="102"/>
      <c r="F71" s="102"/>
      <c r="G71" s="102"/>
      <c r="H71" s="102"/>
      <c r="I71" s="102"/>
      <c r="J71" s="102"/>
      <c r="K71" s="89"/>
      <c r="L71" s="89"/>
      <c r="M71" s="205"/>
      <c r="N71" s="205"/>
      <c r="O71" s="206"/>
      <c r="P71" s="206"/>
      <c r="AA71" s="97"/>
      <c r="AB71" s="97"/>
      <c r="AC71" s="97"/>
      <c r="AD71" s="97"/>
      <c r="AE71" s="26"/>
      <c r="AF71" s="26"/>
    </row>
    <row r="72" spans="1:32" hidden="1" x14ac:dyDescent="0.2">
      <c r="A72" s="89"/>
      <c r="B72" s="89"/>
      <c r="C72" s="89"/>
      <c r="D72" s="89"/>
      <c r="E72" s="102"/>
      <c r="F72" s="102"/>
      <c r="G72" s="102"/>
      <c r="H72" s="102"/>
      <c r="I72" s="102"/>
      <c r="J72" s="102"/>
      <c r="K72" s="89"/>
      <c r="L72" s="89"/>
      <c r="M72" s="205"/>
      <c r="N72" s="205"/>
      <c r="O72" s="206"/>
      <c r="P72" s="206"/>
      <c r="AA72" s="97"/>
      <c r="AB72" s="97"/>
      <c r="AC72" s="97"/>
      <c r="AD72" s="97"/>
      <c r="AE72" s="26"/>
      <c r="AF72" s="26"/>
    </row>
    <row r="73" spans="1:32" hidden="1" x14ac:dyDescent="0.2">
      <c r="A73" s="89"/>
      <c r="B73" s="89"/>
      <c r="C73" s="89"/>
      <c r="D73" s="89"/>
      <c r="E73" s="102"/>
      <c r="F73" s="102"/>
      <c r="G73" s="102"/>
      <c r="H73" s="102"/>
      <c r="I73" s="102"/>
      <c r="J73" s="102"/>
      <c r="K73" s="89"/>
      <c r="L73" s="89"/>
      <c r="M73" s="205"/>
      <c r="N73" s="205"/>
      <c r="O73" s="206"/>
      <c r="P73" s="206"/>
      <c r="AA73" s="97"/>
      <c r="AB73" s="97"/>
      <c r="AC73" s="97"/>
      <c r="AD73" s="97"/>
      <c r="AE73" s="26"/>
      <c r="AF73" s="26"/>
    </row>
    <row r="74" spans="1:32" hidden="1" x14ac:dyDescent="0.2">
      <c r="A74" s="89"/>
      <c r="B74" s="89"/>
      <c r="C74" s="89"/>
      <c r="D74" s="89"/>
      <c r="E74" s="102"/>
      <c r="F74" s="102"/>
      <c r="G74" s="102"/>
      <c r="H74" s="102"/>
      <c r="I74" s="102"/>
      <c r="J74" s="102"/>
      <c r="K74" s="89"/>
      <c r="L74" s="89"/>
      <c r="M74" s="205"/>
      <c r="N74" s="205"/>
      <c r="O74" s="206"/>
      <c r="P74" s="206"/>
      <c r="AA74" s="97"/>
      <c r="AB74" s="97"/>
      <c r="AC74" s="97"/>
      <c r="AD74" s="97"/>
      <c r="AE74" s="26"/>
      <c r="AF74" s="26"/>
    </row>
    <row r="75" spans="1:32" hidden="1" x14ac:dyDescent="0.2">
      <c r="A75" s="89"/>
      <c r="B75" s="89"/>
      <c r="C75" s="89"/>
      <c r="D75" s="89"/>
      <c r="E75" s="102"/>
      <c r="F75" s="102"/>
      <c r="G75" s="102"/>
      <c r="H75" s="102"/>
      <c r="I75" s="102"/>
      <c r="J75" s="102"/>
      <c r="K75" s="89"/>
      <c r="L75" s="89"/>
      <c r="M75" s="205"/>
      <c r="N75" s="205"/>
      <c r="O75" s="206"/>
      <c r="P75" s="206"/>
      <c r="AA75" s="97"/>
      <c r="AB75" s="97"/>
      <c r="AC75" s="97"/>
      <c r="AD75" s="97"/>
      <c r="AE75" s="26"/>
      <c r="AF75" s="26"/>
    </row>
    <row r="76" spans="1:32" hidden="1" x14ac:dyDescent="0.2">
      <c r="A76" s="89"/>
      <c r="B76" s="89"/>
      <c r="C76" s="89"/>
      <c r="D76" s="89"/>
      <c r="E76" s="102"/>
      <c r="F76" s="102"/>
      <c r="G76" s="102"/>
      <c r="H76" s="102"/>
      <c r="I76" s="102"/>
      <c r="J76" s="102"/>
      <c r="K76" s="89"/>
      <c r="L76" s="89"/>
      <c r="M76" s="205"/>
      <c r="N76" s="205"/>
      <c r="O76" s="206"/>
      <c r="P76" s="206"/>
      <c r="AA76" s="97"/>
      <c r="AB76" s="97"/>
      <c r="AC76" s="97"/>
      <c r="AD76" s="97"/>
      <c r="AE76" s="26"/>
      <c r="AF76" s="26"/>
    </row>
    <row r="77" spans="1:32" hidden="1" x14ac:dyDescent="0.2">
      <c r="A77" s="89"/>
      <c r="B77" s="89"/>
      <c r="C77" s="89"/>
      <c r="D77" s="89"/>
      <c r="E77" s="102"/>
      <c r="F77" s="102"/>
      <c r="G77" s="102"/>
      <c r="H77" s="102"/>
      <c r="I77" s="102"/>
      <c r="J77" s="102"/>
      <c r="K77" s="89"/>
      <c r="L77" s="89"/>
      <c r="M77" s="205"/>
      <c r="N77" s="205"/>
      <c r="O77" s="206"/>
      <c r="P77" s="206"/>
      <c r="AA77" s="97"/>
      <c r="AB77" s="97"/>
      <c r="AC77" s="97"/>
      <c r="AD77" s="97"/>
      <c r="AE77" s="26"/>
      <c r="AF77" s="26"/>
    </row>
    <row r="78" spans="1:32" hidden="1" x14ac:dyDescent="0.2">
      <c r="A78" s="89"/>
      <c r="B78" s="89"/>
      <c r="C78" s="89"/>
      <c r="D78" s="89"/>
      <c r="E78" s="102"/>
      <c r="F78" s="102"/>
      <c r="G78" s="102"/>
      <c r="H78" s="102"/>
      <c r="I78" s="102"/>
      <c r="J78" s="102"/>
      <c r="K78" s="89"/>
      <c r="L78" s="89"/>
      <c r="M78" s="205"/>
      <c r="N78" s="205"/>
      <c r="O78" s="206"/>
      <c r="P78" s="206"/>
      <c r="AA78" s="97"/>
      <c r="AB78" s="97"/>
      <c r="AC78" s="97"/>
      <c r="AD78" s="97"/>
      <c r="AE78" s="26"/>
      <c r="AF78" s="26"/>
    </row>
    <row r="79" spans="1:32" hidden="1" x14ac:dyDescent="0.2">
      <c r="A79" s="89"/>
      <c r="B79" s="89"/>
      <c r="C79" s="89"/>
      <c r="D79" s="89"/>
      <c r="E79" s="102"/>
      <c r="F79" s="102"/>
      <c r="G79" s="102"/>
      <c r="H79" s="102"/>
      <c r="I79" s="102"/>
      <c r="J79" s="102"/>
      <c r="K79" s="89"/>
      <c r="L79" s="89"/>
      <c r="M79" s="205"/>
      <c r="N79" s="205"/>
      <c r="O79" s="206"/>
      <c r="P79" s="206"/>
      <c r="AA79" s="97"/>
      <c r="AB79" s="97"/>
      <c r="AC79" s="97"/>
      <c r="AD79" s="97"/>
      <c r="AE79" s="26"/>
      <c r="AF79" s="26"/>
    </row>
    <row r="80" spans="1:32" hidden="1" x14ac:dyDescent="0.2">
      <c r="A80" s="89"/>
      <c r="B80" s="89"/>
      <c r="C80" s="89"/>
      <c r="D80" s="89"/>
      <c r="E80" s="102"/>
      <c r="F80" s="102"/>
      <c r="G80" s="102"/>
      <c r="H80" s="102"/>
      <c r="I80" s="102"/>
      <c r="J80" s="102"/>
      <c r="K80" s="89"/>
      <c r="L80" s="89"/>
      <c r="M80" s="205"/>
      <c r="N80" s="205"/>
      <c r="O80" s="206"/>
      <c r="P80" s="206"/>
      <c r="Q80" s="210" t="s">
        <v>114</v>
      </c>
      <c r="T80" s="208"/>
      <c r="U80" s="208"/>
      <c r="V80" s="208"/>
      <c r="W80" s="208"/>
      <c r="AA80" s="97"/>
      <c r="AB80" s="97"/>
      <c r="AC80" s="97"/>
      <c r="AD80" s="97"/>
      <c r="AE80" s="26"/>
      <c r="AF80" s="26"/>
    </row>
    <row r="81" spans="1:32" hidden="1" x14ac:dyDescent="0.2">
      <c r="A81" s="89"/>
      <c r="B81" s="89"/>
      <c r="C81" s="89"/>
      <c r="D81" s="89"/>
      <c r="E81" s="102"/>
      <c r="F81" s="102"/>
      <c r="G81" s="102"/>
      <c r="H81" s="102"/>
      <c r="I81" s="102"/>
      <c r="J81" s="102"/>
      <c r="K81" s="89"/>
      <c r="L81" s="89"/>
      <c r="M81" s="205"/>
      <c r="N81" s="205"/>
      <c r="O81" s="206"/>
      <c r="P81" s="206"/>
      <c r="T81" s="208"/>
      <c r="U81" s="208"/>
      <c r="V81" s="208"/>
      <c r="W81" s="208"/>
      <c r="AA81" s="97"/>
      <c r="AB81" s="97"/>
      <c r="AC81" s="97"/>
      <c r="AD81" s="97"/>
      <c r="AE81" s="26"/>
      <c r="AF81" s="26"/>
    </row>
    <row r="82" spans="1:32" hidden="1" x14ac:dyDescent="0.2">
      <c r="A82" s="89"/>
      <c r="B82" s="89"/>
      <c r="C82" s="89"/>
      <c r="D82" s="89"/>
      <c r="E82" s="102"/>
      <c r="F82" s="102"/>
      <c r="G82" s="102"/>
      <c r="H82" s="102"/>
      <c r="I82" s="102"/>
      <c r="J82" s="102"/>
      <c r="K82" s="89"/>
      <c r="L82" s="89"/>
      <c r="M82" s="205"/>
      <c r="N82" s="205"/>
      <c r="O82" s="206"/>
      <c r="P82" s="206"/>
      <c r="T82" s="208"/>
      <c r="U82" s="208"/>
      <c r="V82" s="208"/>
      <c r="W82" s="208"/>
      <c r="AA82" s="97"/>
      <c r="AB82" s="97"/>
      <c r="AC82" s="97"/>
      <c r="AD82" s="97"/>
      <c r="AE82" s="26"/>
      <c r="AF82" s="26"/>
    </row>
    <row r="83" spans="1:32" hidden="1" x14ac:dyDescent="0.2">
      <c r="A83" s="89"/>
      <c r="B83" s="89"/>
      <c r="C83" s="89"/>
      <c r="D83" s="89"/>
      <c r="E83" s="102"/>
      <c r="F83" s="102"/>
      <c r="G83" s="102"/>
      <c r="H83" s="102"/>
      <c r="I83" s="102"/>
      <c r="J83" s="102"/>
      <c r="K83" s="89"/>
      <c r="L83" s="89"/>
      <c r="M83" s="205"/>
      <c r="N83" s="205"/>
      <c r="O83" s="206"/>
      <c r="P83" s="206"/>
      <c r="Q83" s="210" t="e">
        <f>IF(Q$111=100,(Q99),IF(R$111=100,(R99),IF(S$111=100,(S99),IF(T$111=100,(T99),IF(U$111=100,(U99),IF(V$111=100,(V99),IF(W$111=100,(W99),(W99))))))))</f>
        <v>#VALUE!</v>
      </c>
      <c r="R83" s="210" t="s">
        <v>124</v>
      </c>
      <c r="T83" s="208"/>
      <c r="U83" s="208"/>
      <c r="V83" s="208"/>
      <c r="W83" s="208"/>
      <c r="AA83" s="97"/>
      <c r="AB83" s="97"/>
      <c r="AC83" s="97"/>
      <c r="AD83" s="97"/>
      <c r="AE83" s="26"/>
      <c r="AF83" s="26"/>
    </row>
    <row r="84" spans="1:32" hidden="1" x14ac:dyDescent="0.2">
      <c r="A84" s="89"/>
      <c r="B84" s="89"/>
      <c r="C84" s="89"/>
      <c r="D84" s="89"/>
      <c r="E84" s="102"/>
      <c r="F84" s="102"/>
      <c r="G84" s="102"/>
      <c r="H84" s="102"/>
      <c r="I84" s="102"/>
      <c r="J84" s="102"/>
      <c r="K84" s="89"/>
      <c r="L84" s="89"/>
      <c r="M84" s="205"/>
      <c r="N84" s="205"/>
      <c r="O84" s="206"/>
      <c r="P84" s="206"/>
      <c r="Q84" s="210" t="e">
        <f t="shared" ref="Q84:Q94" si="34">IF(Q$111=100,(Q100),IF(R$111=100,(R100),IF(S$111=100,(S100),IF(T$111=100,(T100),IF(U$111=100,(U100),IF(V$111=100,(V100),IF(W$111=100,(W100),(W100))))))))</f>
        <v>#VALUE!</v>
      </c>
      <c r="R84" s="210" t="s">
        <v>125</v>
      </c>
      <c r="T84" s="208"/>
      <c r="U84" s="208"/>
      <c r="V84" s="208"/>
      <c r="W84" s="208"/>
      <c r="AA84" s="97"/>
      <c r="AB84" s="97"/>
      <c r="AC84" s="97"/>
      <c r="AD84" s="97"/>
      <c r="AE84" s="26"/>
      <c r="AF84" s="26"/>
    </row>
    <row r="85" spans="1:32" ht="15.75" thickBot="1" x14ac:dyDescent="0.25">
      <c r="A85" s="89"/>
      <c r="B85" s="89"/>
      <c r="C85" s="89"/>
      <c r="D85" s="89"/>
      <c r="E85" s="102"/>
      <c r="F85" s="102"/>
      <c r="G85" s="102"/>
      <c r="H85" s="102"/>
      <c r="I85" s="102"/>
      <c r="J85" s="102"/>
      <c r="K85" s="89"/>
      <c r="L85" s="89"/>
      <c r="M85" s="205"/>
      <c r="N85" s="205"/>
      <c r="O85" s="206"/>
      <c r="P85" s="206"/>
      <c r="Q85" s="210" t="e">
        <f t="shared" si="34"/>
        <v>#VALUE!</v>
      </c>
      <c r="R85" s="210" t="e">
        <f>LARGE(Q$99:Q$110,1)</f>
        <v>#VALUE!</v>
      </c>
      <c r="S85" s="210" t="e">
        <f>IF(Q111&lt;100,(R85+0.1),IF(Q111&gt;100,(R85-0.1),R85))</f>
        <v>#VALUE!</v>
      </c>
      <c r="T85" s="208"/>
      <c r="U85" s="208"/>
      <c r="V85" s="208"/>
      <c r="W85" s="208"/>
      <c r="AA85" s="97"/>
      <c r="AB85" s="97"/>
      <c r="AC85" s="97"/>
      <c r="AD85" s="97"/>
      <c r="AE85" s="26"/>
      <c r="AF85" s="26"/>
    </row>
    <row r="86" spans="1:32" ht="15.75" thickBot="1" x14ac:dyDescent="0.25">
      <c r="A86" s="152"/>
      <c r="B86" s="153" t="s">
        <v>151</v>
      </c>
      <c r="C86" s="154"/>
      <c r="D86" s="154"/>
      <c r="E86" s="155"/>
      <c r="F86" s="18" t="s">
        <v>81</v>
      </c>
      <c r="G86" s="19"/>
      <c r="H86" s="20" t="s">
        <v>82</v>
      </c>
      <c r="I86" s="21"/>
      <c r="J86" s="156"/>
      <c r="K86" s="157"/>
      <c r="L86" s="152"/>
      <c r="M86" s="213"/>
      <c r="N86" s="214"/>
      <c r="O86" s="215"/>
      <c r="P86" s="215"/>
      <c r="Q86" s="210" t="e">
        <f t="shared" si="34"/>
        <v>#VALUE!</v>
      </c>
      <c r="R86" s="210" t="e">
        <f>LARGE(Q$99:Q$110,2)</f>
        <v>#VALUE!</v>
      </c>
      <c r="S86" s="210" t="e">
        <f>IF(R111&lt;100,(R86+0.1),IF(R111&gt;100,(R86-0.1),R86))</f>
        <v>#VALUE!</v>
      </c>
      <c r="T86" s="208"/>
      <c r="U86" s="208"/>
      <c r="V86" s="208"/>
      <c r="W86" s="208"/>
      <c r="AA86" s="97"/>
      <c r="AB86" s="97"/>
      <c r="AC86" s="97"/>
      <c r="AD86" s="97"/>
      <c r="AE86" s="26"/>
      <c r="AF86" s="26"/>
    </row>
    <row r="87" spans="1:32" x14ac:dyDescent="0.2">
      <c r="A87" s="152"/>
      <c r="B87" s="161"/>
      <c r="C87" s="162"/>
      <c r="D87" s="163" t="s">
        <v>90</v>
      </c>
      <c r="E87" s="164"/>
      <c r="F87" s="165"/>
      <c r="G87" s="166"/>
      <c r="H87" s="166"/>
      <c r="I87" s="167"/>
      <c r="J87" s="167"/>
      <c r="K87" s="165"/>
      <c r="L87" s="157"/>
      <c r="M87" s="214"/>
      <c r="N87" s="214"/>
      <c r="O87" s="215"/>
      <c r="P87" s="215"/>
      <c r="Q87" s="210" t="e">
        <f t="shared" si="34"/>
        <v>#VALUE!</v>
      </c>
      <c r="R87" s="210" t="e">
        <f>LARGE(Q$99:Q$110,3)</f>
        <v>#VALUE!</v>
      </c>
      <c r="S87" s="210" t="e">
        <f>IF(S111&lt;100,(R87+0.1),IF(S111&gt;100,(R87-0.1),R87))</f>
        <v>#VALUE!</v>
      </c>
      <c r="T87" s="208"/>
      <c r="U87" s="208"/>
      <c r="V87" s="208"/>
      <c r="W87" s="208"/>
      <c r="AA87" s="97"/>
      <c r="AB87" s="97"/>
      <c r="AC87" s="97"/>
      <c r="AD87" s="97"/>
      <c r="AE87" s="26"/>
      <c r="AF87" s="26"/>
    </row>
    <row r="88" spans="1:32" ht="15.75" thickBot="1" x14ac:dyDescent="0.25">
      <c r="A88" s="152"/>
      <c r="B88" s="161"/>
      <c r="C88" s="162"/>
      <c r="D88" s="163" t="s">
        <v>93</v>
      </c>
      <c r="E88" s="168"/>
      <c r="F88" s="165"/>
      <c r="G88" s="120"/>
      <c r="H88" s="165" t="s">
        <v>130</v>
      </c>
      <c r="I88" s="167"/>
      <c r="J88" s="167"/>
      <c r="K88" s="165"/>
      <c r="L88" s="152"/>
      <c r="M88" s="214"/>
      <c r="N88" s="214"/>
      <c r="O88" s="215"/>
      <c r="P88" s="215"/>
      <c r="Q88" s="210" t="e">
        <f t="shared" si="34"/>
        <v>#VALUE!</v>
      </c>
      <c r="R88" s="210" t="e">
        <f>LARGE(Q$99:Q$110,4)</f>
        <v>#VALUE!</v>
      </c>
      <c r="S88" s="210" t="e">
        <f>IF(T111&lt;100,(R88+0.1),IF(T111&gt;100,(R88-0.1),R88))</f>
        <v>#VALUE!</v>
      </c>
      <c r="T88" s="208"/>
      <c r="U88" s="208"/>
      <c r="V88" s="208"/>
      <c r="W88" s="208"/>
      <c r="AA88" s="97"/>
      <c r="AB88" s="97"/>
      <c r="AC88" s="97"/>
      <c r="AD88" s="97"/>
      <c r="AE88" s="26"/>
      <c r="AF88" s="26"/>
    </row>
    <row r="89" spans="1:32" x14ac:dyDescent="0.2">
      <c r="A89" s="152"/>
      <c r="B89" s="161"/>
      <c r="C89" s="162"/>
      <c r="D89" s="163" t="s">
        <v>131</v>
      </c>
      <c r="E89" s="121"/>
      <c r="F89" s="165"/>
      <c r="G89" s="165"/>
      <c r="H89" s="165" t="s">
        <v>132</v>
      </c>
      <c r="I89" s="167"/>
      <c r="J89" s="167"/>
      <c r="K89" s="165"/>
      <c r="L89" s="152"/>
      <c r="M89" s="214"/>
      <c r="N89" s="214"/>
      <c r="O89" s="215"/>
      <c r="P89" s="215"/>
      <c r="Q89" s="210" t="e">
        <f t="shared" si="34"/>
        <v>#VALUE!</v>
      </c>
      <c r="R89" s="210" t="e">
        <f>LARGE(Q$99:Q$110,5)</f>
        <v>#VALUE!</v>
      </c>
      <c r="S89" s="210" t="e">
        <f>IF(U111&lt;100,(R89+0.1),IF(U111&gt;100,(R89-0.1),R89))</f>
        <v>#VALUE!</v>
      </c>
      <c r="AA89" s="97"/>
      <c r="AB89" s="97"/>
      <c r="AC89" s="97"/>
      <c r="AD89" s="97"/>
      <c r="AE89" s="26"/>
      <c r="AF89" s="26"/>
    </row>
    <row r="90" spans="1:32" x14ac:dyDescent="0.2">
      <c r="A90" s="152"/>
      <c r="B90" s="161"/>
      <c r="C90" s="169"/>
      <c r="D90" s="163" t="s">
        <v>133</v>
      </c>
      <c r="E90" s="121"/>
      <c r="F90" s="165"/>
      <c r="G90" s="166"/>
      <c r="H90" s="166"/>
      <c r="I90" s="167"/>
      <c r="J90" s="167"/>
      <c r="K90" s="165"/>
      <c r="L90" s="152"/>
      <c r="M90" s="214"/>
      <c r="N90" s="214"/>
      <c r="O90" s="215"/>
      <c r="P90" s="215"/>
      <c r="Q90" s="210" t="e">
        <f t="shared" si="34"/>
        <v>#VALUE!</v>
      </c>
      <c r="R90" s="210" t="e">
        <f>LARGE(Q$99:Q$110,6)</f>
        <v>#VALUE!</v>
      </c>
      <c r="S90" s="210" t="e">
        <f>IF(V111&lt;100,(R90+0.1),IF(V111&gt;100,(R90-0.1),R90))</f>
        <v>#VALUE!</v>
      </c>
    </row>
    <row r="91" spans="1:32" ht="15.75" thickBot="1" x14ac:dyDescent="0.25">
      <c r="A91" s="152"/>
      <c r="B91" s="170"/>
      <c r="C91" s="171" t="s">
        <v>99</v>
      </c>
      <c r="D91" s="172"/>
      <c r="E91" s="173" t="str">
        <f>IF(E90="","",ROUND(SUM(E89/E90),4))</f>
        <v/>
      </c>
      <c r="F91" s="165"/>
      <c r="G91" s="165"/>
      <c r="H91" s="165"/>
      <c r="I91" s="165"/>
      <c r="J91" s="165"/>
      <c r="K91" s="165"/>
      <c r="L91" s="152"/>
      <c r="M91" s="214"/>
      <c r="N91" s="214"/>
      <c r="O91" s="215"/>
      <c r="P91" s="215"/>
      <c r="Q91" s="210" t="e">
        <f t="shared" si="34"/>
        <v>#VALUE!</v>
      </c>
      <c r="R91" s="208"/>
      <c r="S91" s="208"/>
      <c r="U91" s="208"/>
      <c r="V91" s="208"/>
      <c r="W91" s="208"/>
    </row>
    <row r="92" spans="1:32" x14ac:dyDescent="0.2">
      <c r="A92" s="152"/>
      <c r="B92" s="341"/>
      <c r="C92" s="342"/>
      <c r="D92" s="54" t="s">
        <v>101</v>
      </c>
      <c r="E92" s="54" t="s">
        <v>102</v>
      </c>
      <c r="F92" s="174" t="s">
        <v>57</v>
      </c>
      <c r="G92" s="174" t="s">
        <v>57</v>
      </c>
      <c r="H92" s="175" t="s">
        <v>103</v>
      </c>
      <c r="I92" s="176"/>
      <c r="J92" s="176"/>
      <c r="K92" s="157"/>
      <c r="L92" s="152"/>
      <c r="M92" s="214"/>
      <c r="N92" s="214"/>
      <c r="O92" s="215"/>
      <c r="P92" s="215"/>
      <c r="Q92" s="210" t="e">
        <f t="shared" si="34"/>
        <v>#VALUE!</v>
      </c>
      <c r="R92" s="208"/>
      <c r="U92" s="208"/>
      <c r="V92" s="208"/>
      <c r="W92" s="208"/>
    </row>
    <row r="93" spans="1:32" x14ac:dyDescent="0.2">
      <c r="A93" s="152"/>
      <c r="B93" s="343" t="s">
        <v>110</v>
      </c>
      <c r="C93" s="344"/>
      <c r="D93" s="59" t="s">
        <v>134</v>
      </c>
      <c r="E93" s="59" t="s">
        <v>111</v>
      </c>
      <c r="F93" s="59" t="s">
        <v>112</v>
      </c>
      <c r="G93" s="59" t="s">
        <v>113</v>
      </c>
      <c r="H93" s="177" t="s">
        <v>114</v>
      </c>
      <c r="I93" s="176"/>
      <c r="J93" s="176"/>
      <c r="K93" s="152"/>
      <c r="L93" s="152"/>
      <c r="M93" s="214"/>
      <c r="N93" s="214"/>
      <c r="O93" s="215"/>
      <c r="P93" s="215"/>
      <c r="Q93" s="210" t="e">
        <f t="shared" si="34"/>
        <v>#VALUE!</v>
      </c>
      <c r="R93" s="208"/>
      <c r="S93" s="208"/>
      <c r="U93" s="208"/>
      <c r="V93" s="208"/>
      <c r="W93" s="208"/>
    </row>
    <row r="94" spans="1:32" x14ac:dyDescent="0.2">
      <c r="A94" s="152"/>
      <c r="B94" s="178" t="s">
        <v>29</v>
      </c>
      <c r="C94" s="62" t="s">
        <v>135</v>
      </c>
      <c r="D94" s="63"/>
      <c r="E94" s="64"/>
      <c r="F94" s="67" t="str">
        <f>IF(OR(E$87="",E$88=""),"",IF(E94="",0,(Q98)))</f>
        <v/>
      </c>
      <c r="G94" s="67" t="str">
        <f>IF(F108="","",100)</f>
        <v/>
      </c>
      <c r="H94" s="179" t="str">
        <f>IF(G94="","",IF(G94&gt;9.9,ROUND(G94,0),ROUND(G94,1)))</f>
        <v/>
      </c>
      <c r="I94" s="180"/>
      <c r="J94" s="180"/>
      <c r="K94" s="152"/>
      <c r="L94" s="152"/>
      <c r="M94" s="214"/>
      <c r="N94" s="214"/>
      <c r="O94" s="215"/>
      <c r="P94" s="215"/>
      <c r="Q94" s="210" t="e">
        <f t="shared" si="34"/>
        <v>#VALUE!</v>
      </c>
      <c r="R94" s="208"/>
      <c r="S94" s="208"/>
      <c r="U94" s="208"/>
      <c r="V94" s="208"/>
      <c r="W94" s="208"/>
    </row>
    <row r="95" spans="1:32" x14ac:dyDescent="0.2">
      <c r="A95" s="152"/>
      <c r="B95" s="178" t="s">
        <v>136</v>
      </c>
      <c r="C95" s="62" t="s">
        <v>137</v>
      </c>
      <c r="D95" s="63"/>
      <c r="E95" s="64"/>
      <c r="F95" s="67" t="str">
        <f t="shared" ref="F95:F106" si="35">IF(OR(E$87="",E$88=""),"",IF(E95="",0,(Q99)))</f>
        <v/>
      </c>
      <c r="G95" s="67" t="str">
        <f>IF(G94="","",SUM(G94-F95))</f>
        <v/>
      </c>
      <c r="H95" s="179" t="str">
        <f>IF(G95="","",IF(G95&gt;9.9,ROUND(G95,0),ROUND(G95,1)))</f>
        <v/>
      </c>
      <c r="I95" s="180"/>
      <c r="J95" s="180"/>
      <c r="K95" s="152"/>
      <c r="L95" s="152"/>
      <c r="M95" s="214"/>
      <c r="N95" s="214"/>
      <c r="O95" s="215"/>
      <c r="P95" s="215"/>
      <c r="Q95" s="210" t="e">
        <f>SUM(Q81:Q94)</f>
        <v>#VALUE!</v>
      </c>
      <c r="T95" s="208"/>
      <c r="U95" s="208"/>
      <c r="V95" s="208"/>
      <c r="W95" s="208"/>
    </row>
    <row r="96" spans="1:32" x14ac:dyDescent="0.2">
      <c r="A96" s="152"/>
      <c r="B96" s="178" t="s">
        <v>31</v>
      </c>
      <c r="C96" s="62" t="s">
        <v>138</v>
      </c>
      <c r="D96" s="63"/>
      <c r="E96" s="64"/>
      <c r="F96" s="67" t="str">
        <f t="shared" si="35"/>
        <v/>
      </c>
      <c r="G96" s="67" t="str">
        <f t="shared" ref="G96:G103" si="36">IF(G95="","",SUM(G95-F96))</f>
        <v/>
      </c>
      <c r="H96" s="179" t="str">
        <f>IF(G96="","",IF(G96&gt;9.9,ROUND(G96,0),ROUND(G96,1)))</f>
        <v/>
      </c>
      <c r="I96" s="180"/>
      <c r="J96" s="180"/>
      <c r="K96" s="152"/>
      <c r="L96" s="152"/>
      <c r="M96" s="214"/>
      <c r="N96" s="214"/>
      <c r="O96" s="215"/>
      <c r="P96" s="215"/>
      <c r="Q96" s="210" t="s">
        <v>57</v>
      </c>
    </row>
    <row r="97" spans="1:23" x14ac:dyDescent="0.2">
      <c r="A97" s="152"/>
      <c r="B97" s="178" t="s">
        <v>32</v>
      </c>
      <c r="C97" s="62" t="s">
        <v>139</v>
      </c>
      <c r="D97" s="63"/>
      <c r="E97" s="64"/>
      <c r="F97" s="67" t="str">
        <f t="shared" si="35"/>
        <v/>
      </c>
      <c r="G97" s="67" t="str">
        <f t="shared" si="36"/>
        <v/>
      </c>
      <c r="H97" s="179" t="str">
        <f>IF(G97="","",IF(G97&gt;9.9,ROUND(G97,0),ROUND(G97,1)))</f>
        <v/>
      </c>
      <c r="I97" s="180"/>
      <c r="J97" s="180"/>
      <c r="K97" s="152"/>
      <c r="L97" s="152"/>
      <c r="M97" s="214"/>
      <c r="N97" s="214"/>
      <c r="O97" s="215"/>
      <c r="P97" s="215"/>
      <c r="Q97" s="210" t="s">
        <v>112</v>
      </c>
    </row>
    <row r="98" spans="1:23" x14ac:dyDescent="0.2">
      <c r="A98" s="152"/>
      <c r="B98" s="178" t="s">
        <v>33</v>
      </c>
      <c r="C98" s="62" t="s">
        <v>140</v>
      </c>
      <c r="D98" s="63"/>
      <c r="E98" s="64"/>
      <c r="F98" s="67" t="str">
        <f t="shared" si="35"/>
        <v/>
      </c>
      <c r="G98" s="67" t="str">
        <f t="shared" si="36"/>
        <v/>
      </c>
      <c r="H98" s="179" t="str">
        <f t="shared" ref="H98:H105" si="37">IF(G98="","",IF(G98&gt;9.9,ROUND(G98,0),ROUND(G98,1)))</f>
        <v/>
      </c>
      <c r="I98" s="180"/>
      <c r="J98" s="180"/>
      <c r="K98" s="152"/>
      <c r="L98" s="152"/>
      <c r="M98" s="214"/>
      <c r="N98" s="214"/>
      <c r="O98" s="215"/>
      <c r="P98" s="215"/>
      <c r="Q98" s="210" t="e">
        <f>ROUND(IF(E94="","",SUM(E94/$E$87)*100),1)</f>
        <v>#VALUE!</v>
      </c>
      <c r="R98" s="210" t="s">
        <v>120</v>
      </c>
      <c r="S98" s="210">
        <v>2</v>
      </c>
      <c r="T98" s="210" t="s">
        <v>121</v>
      </c>
      <c r="U98" s="210" t="s">
        <v>122</v>
      </c>
      <c r="V98" s="210" t="s">
        <v>123</v>
      </c>
      <c r="W98" s="210">
        <v>6</v>
      </c>
    </row>
    <row r="99" spans="1:23" x14ac:dyDescent="0.2">
      <c r="A99" s="152"/>
      <c r="B99" s="178" t="s">
        <v>141</v>
      </c>
      <c r="C99" s="62" t="s">
        <v>142</v>
      </c>
      <c r="D99" s="63"/>
      <c r="E99" s="64"/>
      <c r="F99" s="67" t="str">
        <f t="shared" si="35"/>
        <v/>
      </c>
      <c r="G99" s="67" t="str">
        <f t="shared" si="36"/>
        <v/>
      </c>
      <c r="H99" s="179" t="str">
        <f t="shared" si="37"/>
        <v/>
      </c>
      <c r="I99" s="180"/>
      <c r="J99" s="180"/>
      <c r="K99" s="152"/>
      <c r="L99" s="152"/>
      <c r="M99" s="214"/>
      <c r="N99" s="214"/>
      <c r="O99" s="215"/>
      <c r="P99" s="215"/>
      <c r="Q99" s="210" t="e">
        <f t="shared" ref="Q99:Q109" si="38">ROUND(IF(E95="","",SUM(E95/$E$87)*100),1)</f>
        <v>#VALUE!</v>
      </c>
      <c r="R99" s="210" t="e">
        <f>ROUND(IF(Q99=R$85,S$85,Q99),1)</f>
        <v>#VALUE!</v>
      </c>
      <c r="S99" s="210" t="e">
        <f>ROUND(IF(R99=R$86,S$86,R99),1)</f>
        <v>#VALUE!</v>
      </c>
      <c r="T99" s="210" t="e">
        <f>ROUND(IF(S99=R$87,S$87,S99),1)</f>
        <v>#VALUE!</v>
      </c>
      <c r="U99" s="210" t="e">
        <f>ROUND(IF(T99=R$88,S$88,T99),1)</f>
        <v>#VALUE!</v>
      </c>
      <c r="V99" s="210" t="e">
        <f>ROUND(IF(U99=R$89,S$89,U99),1)</f>
        <v>#VALUE!</v>
      </c>
      <c r="W99" s="210" t="e">
        <f>ROUND(IF(V99=R$90,S$90,V99),1)</f>
        <v>#VALUE!</v>
      </c>
    </row>
    <row r="100" spans="1:23" x14ac:dyDescent="0.2">
      <c r="A100" s="152"/>
      <c r="B100" s="178" t="s">
        <v>143</v>
      </c>
      <c r="C100" s="62" t="s">
        <v>144</v>
      </c>
      <c r="D100" s="181"/>
      <c r="E100" s="64"/>
      <c r="F100" s="67" t="str">
        <f t="shared" si="35"/>
        <v/>
      </c>
      <c r="G100" s="67" t="str">
        <f t="shared" si="36"/>
        <v/>
      </c>
      <c r="H100" s="179" t="str">
        <f t="shared" si="37"/>
        <v/>
      </c>
      <c r="I100" s="180"/>
      <c r="J100" s="180"/>
      <c r="K100" s="152"/>
      <c r="L100" s="152"/>
      <c r="M100" s="214"/>
      <c r="N100" s="214"/>
      <c r="O100" s="215"/>
      <c r="P100" s="215"/>
      <c r="Q100" s="210" t="e">
        <f t="shared" si="38"/>
        <v>#VALUE!</v>
      </c>
      <c r="R100" s="210" t="e">
        <f t="shared" ref="R100:R110" si="39">ROUND(IF(Q100=R$85,S$85,Q100),1)</f>
        <v>#VALUE!</v>
      </c>
      <c r="S100" s="210" t="e">
        <f t="shared" ref="S100:S110" si="40">ROUND(IF(R100=R$86,S$86,R100),1)</f>
        <v>#VALUE!</v>
      </c>
      <c r="T100" s="210" t="e">
        <f t="shared" ref="T100:T110" si="41">ROUND(IF(S100=R$87,S$87,S100),1)</f>
        <v>#VALUE!</v>
      </c>
      <c r="U100" s="210" t="e">
        <f t="shared" ref="U100:U110" si="42">ROUND(IF(T100=R$88,S$88,T100),1)</f>
        <v>#VALUE!</v>
      </c>
      <c r="V100" s="210" t="e">
        <f t="shared" ref="V100:V110" si="43">ROUND(IF(U100=R$89,S$89,U100),1)</f>
        <v>#VALUE!</v>
      </c>
      <c r="W100" s="210" t="e">
        <f t="shared" ref="W100:W110" si="44">ROUND(IF(V100=R$90,S$90,V100),1)</f>
        <v>#VALUE!</v>
      </c>
    </row>
    <row r="101" spans="1:23" x14ac:dyDescent="0.2">
      <c r="A101" s="152"/>
      <c r="B101" s="178" t="s">
        <v>145</v>
      </c>
      <c r="C101" s="62" t="s">
        <v>146</v>
      </c>
      <c r="D101" s="181"/>
      <c r="E101" s="64"/>
      <c r="F101" s="67" t="str">
        <f t="shared" si="35"/>
        <v/>
      </c>
      <c r="G101" s="67" t="str">
        <f t="shared" si="36"/>
        <v/>
      </c>
      <c r="H101" s="179" t="str">
        <f t="shared" si="37"/>
        <v/>
      </c>
      <c r="I101" s="180"/>
      <c r="J101" s="180"/>
      <c r="K101" s="152"/>
      <c r="L101" s="152"/>
      <c r="M101" s="214"/>
      <c r="N101" s="214"/>
      <c r="O101" s="215"/>
      <c r="P101" s="215"/>
      <c r="Q101" s="210" t="e">
        <f t="shared" si="38"/>
        <v>#VALUE!</v>
      </c>
      <c r="R101" s="210" t="e">
        <f t="shared" si="39"/>
        <v>#VALUE!</v>
      </c>
      <c r="S101" s="210" t="e">
        <f t="shared" si="40"/>
        <v>#VALUE!</v>
      </c>
      <c r="T101" s="210" t="e">
        <f t="shared" si="41"/>
        <v>#VALUE!</v>
      </c>
      <c r="U101" s="210" t="e">
        <f t="shared" si="42"/>
        <v>#VALUE!</v>
      </c>
      <c r="V101" s="210" t="e">
        <f t="shared" si="43"/>
        <v>#VALUE!</v>
      </c>
      <c r="W101" s="210" t="e">
        <f t="shared" si="44"/>
        <v>#VALUE!</v>
      </c>
    </row>
    <row r="102" spans="1:23" x14ac:dyDescent="0.2">
      <c r="A102" s="152"/>
      <c r="B102" s="178" t="s">
        <v>147</v>
      </c>
      <c r="C102" s="62" t="str">
        <f>"600 "&amp;CHAR(181)&amp;"m"</f>
        <v>600 µm</v>
      </c>
      <c r="D102" s="181"/>
      <c r="E102" s="64"/>
      <c r="F102" s="67" t="str">
        <f t="shared" si="35"/>
        <v/>
      </c>
      <c r="G102" s="67" t="str">
        <f t="shared" si="36"/>
        <v/>
      </c>
      <c r="H102" s="179" t="str">
        <f t="shared" si="37"/>
        <v/>
      </c>
      <c r="I102" s="180"/>
      <c r="J102" s="180"/>
      <c r="K102" s="152"/>
      <c r="L102" s="152"/>
      <c r="M102" s="214"/>
      <c r="N102" s="214"/>
      <c r="O102" s="215"/>
      <c r="P102" s="215"/>
      <c r="Q102" s="210" t="e">
        <f t="shared" si="38"/>
        <v>#VALUE!</v>
      </c>
      <c r="R102" s="210" t="e">
        <f t="shared" si="39"/>
        <v>#VALUE!</v>
      </c>
      <c r="S102" s="210" t="e">
        <f t="shared" si="40"/>
        <v>#VALUE!</v>
      </c>
      <c r="T102" s="210" t="e">
        <f t="shared" si="41"/>
        <v>#VALUE!</v>
      </c>
      <c r="U102" s="210" t="e">
        <f t="shared" si="42"/>
        <v>#VALUE!</v>
      </c>
      <c r="V102" s="210" t="e">
        <f t="shared" si="43"/>
        <v>#VALUE!</v>
      </c>
      <c r="W102" s="210" t="e">
        <f t="shared" si="44"/>
        <v>#VALUE!</v>
      </c>
    </row>
    <row r="103" spans="1:23" x14ac:dyDescent="0.2">
      <c r="A103" s="152"/>
      <c r="B103" s="178" t="s">
        <v>148</v>
      </c>
      <c r="C103" s="62" t="str">
        <f>"300 "&amp;CHAR(181)&amp;"m"</f>
        <v>300 µm</v>
      </c>
      <c r="D103" s="181"/>
      <c r="E103" s="64"/>
      <c r="F103" s="67" t="str">
        <f t="shared" si="35"/>
        <v/>
      </c>
      <c r="G103" s="67" t="str">
        <f t="shared" si="36"/>
        <v/>
      </c>
      <c r="H103" s="179" t="str">
        <f t="shared" si="37"/>
        <v/>
      </c>
      <c r="I103" s="180"/>
      <c r="J103" s="180"/>
      <c r="K103" s="152"/>
      <c r="L103" s="152"/>
      <c r="M103" s="214"/>
      <c r="N103" s="214"/>
      <c r="O103" s="215"/>
      <c r="P103" s="215"/>
      <c r="Q103" s="210" t="e">
        <f t="shared" si="38"/>
        <v>#VALUE!</v>
      </c>
      <c r="R103" s="210" t="e">
        <f t="shared" si="39"/>
        <v>#VALUE!</v>
      </c>
      <c r="S103" s="210" t="e">
        <f t="shared" si="40"/>
        <v>#VALUE!</v>
      </c>
      <c r="T103" s="210" t="e">
        <f t="shared" si="41"/>
        <v>#VALUE!</v>
      </c>
      <c r="U103" s="210" t="e">
        <f t="shared" si="42"/>
        <v>#VALUE!</v>
      </c>
      <c r="V103" s="210" t="e">
        <f t="shared" si="43"/>
        <v>#VALUE!</v>
      </c>
      <c r="W103" s="210" t="e">
        <f t="shared" si="44"/>
        <v>#VALUE!</v>
      </c>
    </row>
    <row r="104" spans="1:23" x14ac:dyDescent="0.2">
      <c r="A104" s="152"/>
      <c r="B104" s="178" t="s">
        <v>149</v>
      </c>
      <c r="C104" s="62" t="str">
        <f>"150 "&amp;CHAR(181)&amp;"m"</f>
        <v>150 µm</v>
      </c>
      <c r="D104" s="181"/>
      <c r="E104" s="64"/>
      <c r="F104" s="67" t="str">
        <f t="shared" si="35"/>
        <v/>
      </c>
      <c r="G104" s="67" t="str">
        <f>IF(G103="","",SUM(G103-F104))</f>
        <v/>
      </c>
      <c r="H104" s="179" t="str">
        <f t="shared" si="37"/>
        <v/>
      </c>
      <c r="I104" s="180"/>
      <c r="J104" s="180"/>
      <c r="K104" s="152"/>
      <c r="L104" s="152"/>
      <c r="M104" s="214"/>
      <c r="N104" s="214"/>
      <c r="O104" s="215"/>
      <c r="P104" s="215"/>
      <c r="Q104" s="210" t="e">
        <f t="shared" si="38"/>
        <v>#VALUE!</v>
      </c>
      <c r="R104" s="210" t="e">
        <f t="shared" si="39"/>
        <v>#VALUE!</v>
      </c>
      <c r="S104" s="210" t="e">
        <f t="shared" si="40"/>
        <v>#VALUE!</v>
      </c>
      <c r="T104" s="210" t="e">
        <f t="shared" si="41"/>
        <v>#VALUE!</v>
      </c>
      <c r="U104" s="210" t="e">
        <f t="shared" si="42"/>
        <v>#VALUE!</v>
      </c>
      <c r="V104" s="210" t="e">
        <f t="shared" si="43"/>
        <v>#VALUE!</v>
      </c>
      <c r="W104" s="210" t="e">
        <f t="shared" si="44"/>
        <v>#VALUE!</v>
      </c>
    </row>
    <row r="105" spans="1:23" ht="15.75" thickBot="1" x14ac:dyDescent="0.25">
      <c r="A105" s="152"/>
      <c r="B105" s="178" t="s">
        <v>150</v>
      </c>
      <c r="C105" s="62" t="str">
        <f>"75 "&amp;CHAR(181)&amp;"m"</f>
        <v>75 µm</v>
      </c>
      <c r="D105" s="181"/>
      <c r="E105" s="64"/>
      <c r="F105" s="67" t="str">
        <f t="shared" si="35"/>
        <v/>
      </c>
      <c r="G105" s="182" t="str">
        <f>IF(G104="","",SUM(G104-F105))</f>
        <v/>
      </c>
      <c r="H105" s="183" t="str">
        <f t="shared" si="37"/>
        <v/>
      </c>
      <c r="I105" s="180"/>
      <c r="J105" s="180"/>
      <c r="K105" s="152"/>
      <c r="L105" s="152"/>
      <c r="M105" s="214"/>
      <c r="N105" s="214"/>
      <c r="O105" s="215"/>
      <c r="P105" s="215"/>
      <c r="Q105" s="210" t="e">
        <f t="shared" si="38"/>
        <v>#VALUE!</v>
      </c>
      <c r="R105" s="210" t="e">
        <f t="shared" si="39"/>
        <v>#VALUE!</v>
      </c>
      <c r="S105" s="210" t="e">
        <f t="shared" si="40"/>
        <v>#VALUE!</v>
      </c>
      <c r="T105" s="210" t="e">
        <f t="shared" si="41"/>
        <v>#VALUE!</v>
      </c>
      <c r="U105" s="210" t="e">
        <f t="shared" si="42"/>
        <v>#VALUE!</v>
      </c>
      <c r="V105" s="210" t="e">
        <f t="shared" si="43"/>
        <v>#VALUE!</v>
      </c>
      <c r="W105" s="210" t="e">
        <f t="shared" si="44"/>
        <v>#VALUE!</v>
      </c>
    </row>
    <row r="106" spans="1:23" ht="15.75" thickBot="1" x14ac:dyDescent="0.25">
      <c r="A106" s="152"/>
      <c r="B106" s="345" t="s">
        <v>126</v>
      </c>
      <c r="C106" s="346"/>
      <c r="D106" s="181"/>
      <c r="E106" s="64"/>
      <c r="F106" s="67" t="str">
        <f t="shared" si="35"/>
        <v/>
      </c>
      <c r="G106" s="184"/>
      <c r="H106" s="184"/>
      <c r="I106" s="185"/>
      <c r="J106" s="185"/>
      <c r="K106" s="152"/>
      <c r="L106" s="152"/>
      <c r="M106" s="214"/>
      <c r="N106" s="214"/>
      <c r="O106" s="215"/>
      <c r="P106" s="215"/>
      <c r="Q106" s="210" t="e">
        <f t="shared" si="38"/>
        <v>#VALUE!</v>
      </c>
      <c r="R106" s="210" t="e">
        <f t="shared" si="39"/>
        <v>#VALUE!</v>
      </c>
      <c r="S106" s="210" t="e">
        <f t="shared" si="40"/>
        <v>#VALUE!</v>
      </c>
      <c r="T106" s="210" t="e">
        <f t="shared" si="41"/>
        <v>#VALUE!</v>
      </c>
      <c r="U106" s="210" t="e">
        <f t="shared" si="42"/>
        <v>#VALUE!</v>
      </c>
      <c r="V106" s="210" t="e">
        <f t="shared" si="43"/>
        <v>#VALUE!</v>
      </c>
      <c r="W106" s="210" t="e">
        <f t="shared" si="44"/>
        <v>#VALUE!</v>
      </c>
    </row>
    <row r="107" spans="1:23" ht="15.75" thickBot="1" x14ac:dyDescent="0.25">
      <c r="A107" s="152"/>
      <c r="B107" s="345" t="s">
        <v>127</v>
      </c>
      <c r="C107" s="346"/>
      <c r="D107" s="63"/>
      <c r="E107" s="186" t="str">
        <f>IF(E88="","",SUM(E87-E88))</f>
        <v/>
      </c>
      <c r="F107" s="187"/>
      <c r="G107" s="184"/>
      <c r="H107" s="157"/>
      <c r="I107" s="157"/>
      <c r="J107" s="157"/>
      <c r="K107" s="152"/>
      <c r="L107" s="152"/>
      <c r="M107" s="214"/>
      <c r="N107" s="214"/>
      <c r="O107" s="215"/>
      <c r="P107" s="215"/>
      <c r="Q107" s="210" t="e">
        <f t="shared" si="38"/>
        <v>#VALUE!</v>
      </c>
      <c r="R107" s="210" t="e">
        <f t="shared" si="39"/>
        <v>#VALUE!</v>
      </c>
      <c r="S107" s="210" t="e">
        <f t="shared" si="40"/>
        <v>#VALUE!</v>
      </c>
      <c r="T107" s="210" t="e">
        <f t="shared" si="41"/>
        <v>#VALUE!</v>
      </c>
      <c r="U107" s="210" t="e">
        <f t="shared" si="42"/>
        <v>#VALUE!</v>
      </c>
      <c r="V107" s="210" t="e">
        <f t="shared" si="43"/>
        <v>#VALUE!</v>
      </c>
      <c r="W107" s="210" t="e">
        <f t="shared" si="44"/>
        <v>#VALUE!</v>
      </c>
    </row>
    <row r="108" spans="1:23" ht="15.75" thickBot="1" x14ac:dyDescent="0.25">
      <c r="A108" s="152"/>
      <c r="B108" s="345" t="s">
        <v>128</v>
      </c>
      <c r="C108" s="346"/>
      <c r="D108" s="188" t="str">
        <f>IF(D106="","",SUM(D100:D106))</f>
        <v/>
      </c>
      <c r="E108" s="188" t="str">
        <f>IF(E106="","",SUM(E94:E107))</f>
        <v/>
      </c>
      <c r="F108" s="189" t="str">
        <f>IF(F106="","",SUM(F94:F106))</f>
        <v/>
      </c>
      <c r="G108" s="190"/>
      <c r="H108" s="157"/>
      <c r="I108" s="157"/>
      <c r="J108" s="157"/>
      <c r="K108" s="157"/>
      <c r="L108" s="152"/>
      <c r="M108" s="214"/>
      <c r="N108" s="214"/>
      <c r="O108" s="215"/>
      <c r="P108" s="215"/>
      <c r="Q108" s="210" t="e">
        <f t="shared" si="38"/>
        <v>#VALUE!</v>
      </c>
      <c r="R108" s="210" t="e">
        <f t="shared" si="39"/>
        <v>#VALUE!</v>
      </c>
      <c r="S108" s="210" t="e">
        <f t="shared" si="40"/>
        <v>#VALUE!</v>
      </c>
      <c r="T108" s="210" t="e">
        <f t="shared" si="41"/>
        <v>#VALUE!</v>
      </c>
      <c r="U108" s="210" t="e">
        <f t="shared" si="42"/>
        <v>#VALUE!</v>
      </c>
      <c r="V108" s="210" t="e">
        <f t="shared" si="43"/>
        <v>#VALUE!</v>
      </c>
      <c r="W108" s="210" t="e">
        <f t="shared" si="44"/>
        <v>#VALUE!</v>
      </c>
    </row>
    <row r="109" spans="1:23" ht="15.75" thickBot="1" x14ac:dyDescent="0.25">
      <c r="A109" s="152"/>
      <c r="B109" s="336" t="s">
        <v>129</v>
      </c>
      <c r="C109" s="337"/>
      <c r="D109" s="182" t="str">
        <f>IF(D108="","",ROUND((SUM(D108/E90)*100),1))</f>
        <v/>
      </c>
      <c r="E109" s="191" t="str">
        <f>IF(E108="","",ROUND((SUM(E108/E87)*100),1))</f>
        <v/>
      </c>
      <c r="F109" s="192"/>
      <c r="G109" s="157"/>
      <c r="H109" s="157"/>
      <c r="I109" s="157"/>
      <c r="J109" s="157"/>
      <c r="K109" s="157"/>
      <c r="L109" s="152"/>
      <c r="M109" s="214"/>
      <c r="N109" s="214"/>
      <c r="O109" s="215"/>
      <c r="P109" s="215"/>
      <c r="Q109" s="210" t="e">
        <f t="shared" si="38"/>
        <v>#VALUE!</v>
      </c>
      <c r="R109" s="210" t="e">
        <f t="shared" si="39"/>
        <v>#VALUE!</v>
      </c>
      <c r="S109" s="210" t="e">
        <f t="shared" si="40"/>
        <v>#VALUE!</v>
      </c>
      <c r="T109" s="210" t="e">
        <f t="shared" si="41"/>
        <v>#VALUE!</v>
      </c>
      <c r="U109" s="210" t="e">
        <f t="shared" si="42"/>
        <v>#VALUE!</v>
      </c>
      <c r="V109" s="210" t="e">
        <f t="shared" si="43"/>
        <v>#VALUE!</v>
      </c>
      <c r="W109" s="210" t="e">
        <f t="shared" si="44"/>
        <v>#VALUE!</v>
      </c>
    </row>
    <row r="110" spans="1:23" x14ac:dyDescent="0.2">
      <c r="A110" s="152"/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213"/>
      <c r="N110" s="214"/>
      <c r="O110" s="215"/>
      <c r="P110" s="215"/>
      <c r="Q110" s="210" t="e">
        <f>ROUND(IF(E106="","",SUM((E106+E107)/$E$87)*100),1)</f>
        <v>#VALUE!</v>
      </c>
      <c r="R110" s="210" t="e">
        <f t="shared" si="39"/>
        <v>#VALUE!</v>
      </c>
      <c r="S110" s="210" t="e">
        <f t="shared" si="40"/>
        <v>#VALUE!</v>
      </c>
      <c r="T110" s="210" t="e">
        <f t="shared" si="41"/>
        <v>#VALUE!</v>
      </c>
      <c r="U110" s="210" t="e">
        <f t="shared" si="42"/>
        <v>#VALUE!</v>
      </c>
      <c r="V110" s="210" t="e">
        <f t="shared" si="43"/>
        <v>#VALUE!</v>
      </c>
      <c r="W110" s="210" t="e">
        <f t="shared" si="44"/>
        <v>#VALUE!</v>
      </c>
    </row>
    <row r="111" spans="1:23" x14ac:dyDescent="0.2">
      <c r="A111" s="152"/>
      <c r="B111" s="152"/>
      <c r="C111" s="152"/>
      <c r="D111" s="152"/>
      <c r="E111" s="152"/>
      <c r="F111" s="152"/>
      <c r="G111" s="338"/>
      <c r="H111" s="338"/>
      <c r="I111" s="338"/>
      <c r="J111" s="338"/>
      <c r="K111" s="338"/>
      <c r="L111" s="152"/>
      <c r="M111" s="213"/>
      <c r="N111" s="214"/>
      <c r="O111" s="215"/>
      <c r="P111" s="215"/>
      <c r="Q111" s="210" t="e">
        <f>ROUND(SUM(Q98:Q110),1)</f>
        <v>#VALUE!</v>
      </c>
      <c r="R111" s="210" t="e">
        <f t="shared" ref="R111:W111" si="45">ROUND(IF(R110="","",SUM(R99:R110)),1)</f>
        <v>#VALUE!</v>
      </c>
      <c r="S111" s="210" t="e">
        <f t="shared" si="45"/>
        <v>#VALUE!</v>
      </c>
      <c r="T111" s="210" t="e">
        <f t="shared" si="45"/>
        <v>#VALUE!</v>
      </c>
      <c r="U111" s="210" t="e">
        <f t="shared" si="45"/>
        <v>#VALUE!</v>
      </c>
      <c r="V111" s="210" t="e">
        <f t="shared" si="45"/>
        <v>#VALUE!</v>
      </c>
      <c r="W111" s="210" t="e">
        <f t="shared" si="45"/>
        <v>#VALUE!</v>
      </c>
    </row>
    <row r="112" spans="1:23" x14ac:dyDescent="0.2">
      <c r="A112" s="152"/>
      <c r="B112" s="152"/>
      <c r="C112" s="152"/>
      <c r="D112" s="152"/>
      <c r="E112" s="152"/>
      <c r="F112" s="152"/>
      <c r="G112" s="338"/>
      <c r="H112" s="338"/>
      <c r="I112" s="338"/>
      <c r="J112" s="338"/>
      <c r="K112" s="338"/>
      <c r="L112" s="152"/>
      <c r="M112" s="214"/>
      <c r="N112" s="214"/>
      <c r="O112" s="215"/>
      <c r="P112" s="215"/>
      <c r="Q112" s="208"/>
      <c r="R112" s="208"/>
      <c r="S112" s="208"/>
      <c r="T112" s="208"/>
      <c r="U112" s="208"/>
      <c r="V112" s="208"/>
      <c r="W112" s="208"/>
    </row>
  </sheetData>
  <sheetProtection algorithmName="SHA-512" hashValue="h3MozaRB9ZdI4UclQYs8itCf/Spa/Ct23paHT54nDiSkBywdr+ydeCnYYTEoyYw9pQhGXc+cTETj0AO0YIXZ3A==" saltValue="l4jT4HqyZHh9nvGYEwRS7g==" spinCount="100000" sheet="1" objects="1" scenarios="1"/>
  <mergeCells count="20">
    <mergeCell ref="B109:C109"/>
    <mergeCell ref="G111:K112"/>
    <mergeCell ref="B58:C58"/>
    <mergeCell ref="B92:C92"/>
    <mergeCell ref="B93:C93"/>
    <mergeCell ref="B106:C106"/>
    <mergeCell ref="B107:C107"/>
    <mergeCell ref="B108:C108"/>
    <mergeCell ref="B57:C57"/>
    <mergeCell ref="A1:E1"/>
    <mergeCell ref="I3:K3"/>
    <mergeCell ref="I4:K4"/>
    <mergeCell ref="I5:K5"/>
    <mergeCell ref="I6:K6"/>
    <mergeCell ref="B31:C31"/>
    <mergeCell ref="B32:C32"/>
    <mergeCell ref="B41:C41"/>
    <mergeCell ref="B42:C42"/>
    <mergeCell ref="B55:C55"/>
    <mergeCell ref="B56:C56"/>
  </mergeCells>
  <dataValidations count="2">
    <dataValidation type="decimal" allowBlank="1" showInputMessage="1" showErrorMessage="1" error="Must be numerical" sqref="I9:I20" xr:uid="{F45CEB7A-0879-482A-8400-8F5E8641E6F2}">
      <formula1>0</formula1>
      <formula2>100</formula2>
    </dataValidation>
    <dataValidation type="list" allowBlank="1" showInputMessage="1" showErrorMessage="1" sqref="L1" xr:uid="{F887ED88-4DA6-4D16-B12C-5C7605A7DD83}">
      <formula1>$O$1:$O$2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83068-60BF-493E-B015-EFCF09731824}">
  <dimension ref="A2:Q35"/>
  <sheetViews>
    <sheetView zoomScale="85" zoomScaleNormal="85" workbookViewId="0">
      <selection activeCell="E11" sqref="E11"/>
    </sheetView>
  </sheetViews>
  <sheetFormatPr defaultRowHeight="15" x14ac:dyDescent="0.2"/>
  <cols>
    <col min="1" max="2" width="9.140625" style="27"/>
    <col min="3" max="3" width="10" style="27" customWidth="1"/>
    <col min="4" max="4" width="17.28515625" style="27" customWidth="1"/>
    <col min="5" max="16" width="10" style="27" customWidth="1"/>
    <col min="17" max="16384" width="9.140625" style="27"/>
  </cols>
  <sheetData>
    <row r="2" spans="1:17" ht="15.75" x14ac:dyDescent="0.25">
      <c r="A2" s="347"/>
      <c r="B2" s="347"/>
      <c r="C2" s="347"/>
      <c r="D2" s="348"/>
      <c r="E2" s="349" t="s">
        <v>28</v>
      </c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46"/>
      <c r="Q2" s="224" t="s">
        <v>152</v>
      </c>
    </row>
    <row r="3" spans="1:17" ht="15.75" x14ac:dyDescent="0.25">
      <c r="A3" s="347" t="s">
        <v>153</v>
      </c>
      <c r="B3" s="347"/>
      <c r="C3" s="347"/>
      <c r="D3" s="348"/>
      <c r="E3" s="224" t="s">
        <v>29</v>
      </c>
      <c r="F3" s="224" t="s">
        <v>30</v>
      </c>
      <c r="G3" s="224" t="s">
        <v>31</v>
      </c>
      <c r="H3" s="224" t="s">
        <v>32</v>
      </c>
      <c r="I3" s="224" t="s">
        <v>33</v>
      </c>
      <c r="J3" s="224" t="s">
        <v>34</v>
      </c>
      <c r="K3" s="224" t="s">
        <v>35</v>
      </c>
      <c r="L3" s="224" t="s">
        <v>36</v>
      </c>
      <c r="M3" s="224" t="s">
        <v>37</v>
      </c>
      <c r="N3" s="224" t="s">
        <v>38</v>
      </c>
      <c r="O3" s="224" t="s">
        <v>39</v>
      </c>
      <c r="P3" s="224" t="s">
        <v>40</v>
      </c>
      <c r="Q3" s="224" t="s">
        <v>154</v>
      </c>
    </row>
    <row r="4" spans="1:17" ht="15.75" x14ac:dyDescent="0.25">
      <c r="A4" s="347" t="s">
        <v>155</v>
      </c>
      <c r="B4" s="347"/>
      <c r="C4" s="347"/>
      <c r="D4" s="348"/>
      <c r="E4" s="225" t="str">
        <f>IF(E11="","",ROUND(AVERAGE(E11,E19,E27,E35),1))</f>
        <v/>
      </c>
      <c r="F4" s="225" t="str">
        <f t="shared" ref="F4:P4" si="0">IF(F11="","",ROUND(AVERAGE(F11,F19,F27,F35),1))</f>
        <v/>
      </c>
      <c r="G4" s="225" t="str">
        <f t="shared" si="0"/>
        <v/>
      </c>
      <c r="H4" s="225" t="str">
        <f t="shared" si="0"/>
        <v/>
      </c>
      <c r="I4" s="225" t="str">
        <f t="shared" si="0"/>
        <v/>
      </c>
      <c r="J4" s="225" t="str">
        <f t="shared" si="0"/>
        <v/>
      </c>
      <c r="K4" s="225" t="str">
        <f t="shared" si="0"/>
        <v/>
      </c>
      <c r="L4" s="225" t="str">
        <f t="shared" si="0"/>
        <v/>
      </c>
      <c r="M4" s="225" t="str">
        <f t="shared" si="0"/>
        <v/>
      </c>
      <c r="N4" s="225" t="str">
        <f t="shared" si="0"/>
        <v/>
      </c>
      <c r="O4" s="225" t="str">
        <f t="shared" si="0"/>
        <v/>
      </c>
      <c r="P4" s="225" t="str">
        <f t="shared" si="0"/>
        <v/>
      </c>
      <c r="Q4" s="225" t="str">
        <f>IF(Q11="","",ROUND(AVERAGE(Q11,Q19,Q27,Q35),2))</f>
        <v/>
      </c>
    </row>
    <row r="5" spans="1:17" ht="15.75" thickBot="1" x14ac:dyDescent="0.25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7"/>
    </row>
    <row r="6" spans="1:17" ht="15.75" thickTop="1" x14ac:dyDescent="0.2"/>
    <row r="7" spans="1:17" ht="15.75" x14ac:dyDescent="0.25">
      <c r="A7" s="347" t="s">
        <v>156</v>
      </c>
      <c r="B7" s="347"/>
      <c r="C7" s="347"/>
      <c r="D7" s="348"/>
      <c r="E7" s="349" t="s">
        <v>28</v>
      </c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46"/>
      <c r="Q7" s="224" t="s">
        <v>152</v>
      </c>
    </row>
    <row r="8" spans="1:17" x14ac:dyDescent="0.2">
      <c r="C8" s="228"/>
      <c r="D8" s="228"/>
      <c r="E8" s="224" t="s">
        <v>29</v>
      </c>
      <c r="F8" s="224" t="s">
        <v>30</v>
      </c>
      <c r="G8" s="224" t="s">
        <v>31</v>
      </c>
      <c r="H8" s="224" t="s">
        <v>32</v>
      </c>
      <c r="I8" s="224" t="s">
        <v>33</v>
      </c>
      <c r="J8" s="224" t="s">
        <v>34</v>
      </c>
      <c r="K8" s="224" t="s">
        <v>35</v>
      </c>
      <c r="L8" s="224" t="s">
        <v>36</v>
      </c>
      <c r="M8" s="224" t="s">
        <v>37</v>
      </c>
      <c r="N8" s="224" t="s">
        <v>38</v>
      </c>
      <c r="O8" s="224" t="s">
        <v>39</v>
      </c>
      <c r="P8" s="224" t="s">
        <v>40</v>
      </c>
      <c r="Q8" s="224" t="s">
        <v>154</v>
      </c>
    </row>
    <row r="9" spans="1:17" ht="15.75" thickBot="1" x14ac:dyDescent="0.25">
      <c r="B9" s="229" t="s">
        <v>42</v>
      </c>
      <c r="C9" s="62" t="str">
        <f>IF(Test1!G$86="","",Test1!G$86)</f>
        <v/>
      </c>
      <c r="D9" s="230" t="s">
        <v>44</v>
      </c>
      <c r="E9" s="231" t="str">
        <f>IF(Test1!H$94="","",Test1!H$94)</f>
        <v/>
      </c>
      <c r="F9" s="231" t="str">
        <f>IF(Test1!H$95="","",Test1!H$95)</f>
        <v/>
      </c>
      <c r="G9" s="231" t="str">
        <f>IF(Test1!H$96="","",Test1!H$96)</f>
        <v/>
      </c>
      <c r="H9" s="231" t="str">
        <f>IF(Test1!H$97="","",Test1!H$97)</f>
        <v/>
      </c>
      <c r="I9" s="231" t="str">
        <f>IF(Test1!H$98="","",Test1!H$98)</f>
        <v/>
      </c>
      <c r="J9" s="231" t="str">
        <f>IF(Test1!H$99="","",Test1!H$99)</f>
        <v/>
      </c>
      <c r="K9" s="231" t="str">
        <f>IF(Test1!H$100="","",Test1!H$100)</f>
        <v/>
      </c>
      <c r="L9" s="231" t="str">
        <f>IF(Test1!H$101="","",Test1!H$101)</f>
        <v/>
      </c>
      <c r="M9" s="231" t="str">
        <f>IF(Test1!H$102="","",Test1!H$102)</f>
        <v/>
      </c>
      <c r="N9" s="231" t="str">
        <f>IF(Test1!H$103="","",Test1!H$103)</f>
        <v/>
      </c>
      <c r="O9" s="231" t="str">
        <f>IF(Test1!H$104="","",Test1!H$104)</f>
        <v/>
      </c>
      <c r="P9" s="231" t="str">
        <f>IF(Test1!H$105="","",Test1!H$105)</f>
        <v/>
      </c>
      <c r="Q9" s="225" t="str">
        <f>IF(P9="","",ROUND(J9*0.0041+K9*0.0082+L9*0.0164+M9*0.0287+N9*0.0614+O9*0.1229+P9*0.3277+0.41,2))</f>
        <v/>
      </c>
    </row>
    <row r="10" spans="1:17" ht="15.75" thickBot="1" x14ac:dyDescent="0.25">
      <c r="B10" s="229" t="s">
        <v>42</v>
      </c>
      <c r="C10" s="62" t="str">
        <f>IF(Test1!G$1="","",Test1!G$1)</f>
        <v/>
      </c>
      <c r="D10" s="232" t="s">
        <v>47</v>
      </c>
      <c r="E10" s="231" t="str">
        <f>IF(Test1!$H$9=0,IF(Test1!$F$9="","",Test1!$F$9),Test1!$H$9)</f>
        <v/>
      </c>
      <c r="F10" s="231" t="str">
        <f>IF(Test1!$H$10=0,IF(Test1!$F$10="","",Test1!$F$10),Test1!$H$10)</f>
        <v/>
      </c>
      <c r="G10" s="231" t="str">
        <f>IF(Test1!$H$11=0,IF(Test1!$F$11="","",Test1!$F$11),Test1!$H$11)</f>
        <v/>
      </c>
      <c r="H10" s="231" t="str">
        <f>IF(Test1!$H$12=0,IF(Test1!$F$12="","",Test1!$F$12),Test1!$H$12)</f>
        <v/>
      </c>
      <c r="I10" s="231" t="str">
        <f>IF(Test1!$H$13=0,IF(Test1!$F$13="","",Test1!$F$13),Test1!$H$13)</f>
        <v/>
      </c>
      <c r="J10" s="231" t="str">
        <f>IF(Test1!$H$14=0,IF(Test1!$F$14="","",Test1!$F$14),Test1!$H$14)</f>
        <v/>
      </c>
      <c r="K10" s="231" t="str">
        <f>IF(Test1!$H$15=0,IF(Test1!$F$15="","",Test1!$F$15),Test1!$H$15)</f>
        <v/>
      </c>
      <c r="L10" s="231" t="str">
        <f>IF(Test1!$H$16=0,IF(Test1!$F$16="","",Test1!$F$16),Test1!$H$16)</f>
        <v/>
      </c>
      <c r="M10" s="231" t="str">
        <f>IF(Test1!$H$17=0,IF(Test1!$F$17="","",Test1!$F$17),Test1!$H$17)</f>
        <v/>
      </c>
      <c r="N10" s="231" t="str">
        <f>IF(Test1!$H$18=0,IF(Test1!$F$18="","",Test1!$F$18),Test1!$H$18)</f>
        <v/>
      </c>
      <c r="O10" s="231" t="str">
        <f>IF(Test1!$H$19=0,IF(Test1!$F$19="","",Test1!$F$19),Test1!$H$19)</f>
        <v/>
      </c>
      <c r="P10" s="231" t="str">
        <f>IF(Test1!$H$20=0,IF(Test1!$F$20="","",Test1!$F$20),Test1!$H$20)</f>
        <v/>
      </c>
      <c r="Q10" s="225" t="str">
        <f>IF(P10="","",ROUND(J10*0.0041+K10*0.0082+L10*0.0164+M10*0.0287+N10*0.0614+O10*0.1229+P10*0.3277+0.41,2))</f>
        <v/>
      </c>
    </row>
    <row r="11" spans="1:17" x14ac:dyDescent="0.2">
      <c r="B11" s="228"/>
      <c r="C11" s="351" t="s">
        <v>48</v>
      </c>
      <c r="D11" s="352"/>
      <c r="E11" s="233" t="str">
        <f>IF(E10="","",E10-E9)</f>
        <v/>
      </c>
      <c r="F11" s="233" t="str">
        <f t="shared" ref="F11:Q11" si="1">IF(F10="","",F10-F9)</f>
        <v/>
      </c>
      <c r="G11" s="233" t="str">
        <f t="shared" si="1"/>
        <v/>
      </c>
      <c r="H11" s="233" t="str">
        <f t="shared" si="1"/>
        <v/>
      </c>
      <c r="I11" s="233" t="str">
        <f t="shared" si="1"/>
        <v/>
      </c>
      <c r="J11" s="233" t="str">
        <f t="shared" si="1"/>
        <v/>
      </c>
      <c r="K11" s="233" t="str">
        <f t="shared" si="1"/>
        <v/>
      </c>
      <c r="L11" s="233" t="str">
        <f t="shared" si="1"/>
        <v/>
      </c>
      <c r="M11" s="233" t="str">
        <f t="shared" si="1"/>
        <v/>
      </c>
      <c r="N11" s="233" t="str">
        <f t="shared" si="1"/>
        <v/>
      </c>
      <c r="O11" s="233" t="str">
        <f t="shared" si="1"/>
        <v/>
      </c>
      <c r="P11" s="233" t="str">
        <f t="shared" si="1"/>
        <v/>
      </c>
      <c r="Q11" s="234" t="str">
        <f t="shared" si="1"/>
        <v/>
      </c>
    </row>
    <row r="15" spans="1:17" ht="15.75" x14ac:dyDescent="0.25">
      <c r="A15" s="347" t="s">
        <v>157</v>
      </c>
      <c r="B15" s="347"/>
      <c r="C15" s="347"/>
      <c r="D15" s="348"/>
      <c r="E15" s="349" t="s">
        <v>28</v>
      </c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46"/>
      <c r="Q15" s="224" t="s">
        <v>152</v>
      </c>
    </row>
    <row r="16" spans="1:17" x14ac:dyDescent="0.2">
      <c r="C16" s="228"/>
      <c r="D16" s="228"/>
      <c r="E16" s="224" t="s">
        <v>29</v>
      </c>
      <c r="F16" s="224" t="s">
        <v>30</v>
      </c>
      <c r="G16" s="224" t="s">
        <v>31</v>
      </c>
      <c r="H16" s="224" t="s">
        <v>32</v>
      </c>
      <c r="I16" s="224" t="s">
        <v>33</v>
      </c>
      <c r="J16" s="224" t="s">
        <v>34</v>
      </c>
      <c r="K16" s="224" t="s">
        <v>35</v>
      </c>
      <c r="L16" s="224" t="s">
        <v>36</v>
      </c>
      <c r="M16" s="224" t="s">
        <v>37</v>
      </c>
      <c r="N16" s="224" t="s">
        <v>38</v>
      </c>
      <c r="O16" s="224" t="s">
        <v>39</v>
      </c>
      <c r="P16" s="224" t="s">
        <v>40</v>
      </c>
      <c r="Q16" s="224" t="s">
        <v>154</v>
      </c>
    </row>
    <row r="17" spans="1:17" ht="15.75" thickBot="1" x14ac:dyDescent="0.25">
      <c r="B17" s="229" t="s">
        <v>42</v>
      </c>
      <c r="C17" s="62" t="str">
        <f>IF(Test2!G$86="","",Test2!G$86)</f>
        <v/>
      </c>
      <c r="D17" s="230" t="s">
        <v>44</v>
      </c>
      <c r="E17" s="231" t="str">
        <f>IF(Test2!H$94="","",Test2!H$94)</f>
        <v/>
      </c>
      <c r="F17" s="231" t="str">
        <f>IF(Test2!H$95="","",Test2!H$95)</f>
        <v/>
      </c>
      <c r="G17" s="231" t="str">
        <f>IF(Test2!H$96="","",Test2!H$96)</f>
        <v/>
      </c>
      <c r="H17" s="231" t="str">
        <f>IF(Test2!H$97="","",Test2!H$97)</f>
        <v/>
      </c>
      <c r="I17" s="231" t="str">
        <f>IF(Test2!H$98="","",Test2!H$98)</f>
        <v/>
      </c>
      <c r="J17" s="231" t="str">
        <f>IF(Test2!H$99="","",Test2!H$99)</f>
        <v/>
      </c>
      <c r="K17" s="231" t="str">
        <f>IF(Test2!H$100="","",Test2!H$100)</f>
        <v/>
      </c>
      <c r="L17" s="231" t="str">
        <f>IF(Test2!H$101="","",Test2!H$101)</f>
        <v/>
      </c>
      <c r="M17" s="231" t="str">
        <f>IF(Test2!H$102="","",Test2!H$102)</f>
        <v/>
      </c>
      <c r="N17" s="231" t="str">
        <f>IF(Test2!H$103="","",Test2!H$103)</f>
        <v/>
      </c>
      <c r="O17" s="231" t="str">
        <f>IF(Test2!H$104="","",Test2!H$104)</f>
        <v/>
      </c>
      <c r="P17" s="231" t="str">
        <f>IF(Test2!H$105="","",Test2!H$105)</f>
        <v/>
      </c>
      <c r="Q17" s="225" t="str">
        <f>IF(P17="","",ROUND(J17*0.0041+K17*0.0082+L17*0.0164+M17*0.0287+N17*0.0614+O17*0.1229+P17*0.3277+0.41,2))</f>
        <v/>
      </c>
    </row>
    <row r="18" spans="1:17" ht="15.75" thickBot="1" x14ac:dyDescent="0.25">
      <c r="B18" s="229" t="s">
        <v>42</v>
      </c>
      <c r="C18" s="62" t="str">
        <f>IF(Test2!G$1="","",Test2!G$1)</f>
        <v/>
      </c>
      <c r="D18" s="232" t="s">
        <v>47</v>
      </c>
      <c r="E18" s="231" t="str">
        <f>IF(Test2!$H$9=0,IF(Test2!$F$9="","",Test2!$F$9),Test2!$H$9)</f>
        <v/>
      </c>
      <c r="F18" s="231" t="str">
        <f>IF(Test2!$H$10=0,IF(Test2!$F$10="","",Test2!$F$10),Test2!$H$10)</f>
        <v/>
      </c>
      <c r="G18" s="231" t="str">
        <f>IF(Test2!$H$11=0,IF(Test2!$F$11="","",Test2!$F$11),Test2!$H$11)</f>
        <v/>
      </c>
      <c r="H18" s="231" t="str">
        <f>IF(Test2!$H$12=0,IF(Test2!$F$12="","",Test2!$F$12),Test2!$H$12)</f>
        <v/>
      </c>
      <c r="I18" s="231" t="str">
        <f>IF(Test2!$H$13=0,IF(Test2!$F$13="","",Test2!$F$13),Test2!$H$13)</f>
        <v/>
      </c>
      <c r="J18" s="231" t="str">
        <f>IF(Test2!$H$14=0,IF(Test2!$F$14="","",Test2!$F$14),Test2!$H$14)</f>
        <v/>
      </c>
      <c r="K18" s="231" t="str">
        <f>IF(Test2!$H$15=0,IF(Test2!$F$15="","",Test2!$F$15),Test2!$H$15)</f>
        <v/>
      </c>
      <c r="L18" s="231" t="str">
        <f>IF(Test2!$H$16=0,IF(Test2!$F$16="","",Test2!$F$16),Test2!$H$16)</f>
        <v/>
      </c>
      <c r="M18" s="231" t="str">
        <f>IF(Test2!$H$17=0,IF(Test2!$F$17="","",Test2!$F$17),Test2!$H$17)</f>
        <v/>
      </c>
      <c r="N18" s="231" t="str">
        <f>IF(Test2!$H$18=0,IF(Test2!$F$18="","",Test2!$F$18),Test2!$H$18)</f>
        <v/>
      </c>
      <c r="O18" s="231" t="str">
        <f>IF(Test2!$H$19=0,IF(Test2!$F$19="","",Test2!$F$19),Test2!$H$19)</f>
        <v/>
      </c>
      <c r="P18" s="231" t="str">
        <f>IF(Test2!$H$20=0,IF(Test2!$F$20="","",Test2!$F$20),Test2!$H$20)</f>
        <v/>
      </c>
      <c r="Q18" s="225" t="str">
        <f>IF(P18="","",ROUND(J18*0.0041+K18*0.0082+L18*0.0164+M18*0.0287+N18*0.0614+O18*0.1229+P18*0.3277+0.41,2))</f>
        <v/>
      </c>
    </row>
    <row r="19" spans="1:17" x14ac:dyDescent="0.2">
      <c r="B19" s="228"/>
      <c r="C19" s="351" t="s">
        <v>48</v>
      </c>
      <c r="D19" s="352"/>
      <c r="E19" s="233" t="str">
        <f t="shared" ref="E19:Q19" si="2">IF(E18="","",E18-E17)</f>
        <v/>
      </c>
      <c r="F19" s="233" t="str">
        <f t="shared" si="2"/>
        <v/>
      </c>
      <c r="G19" s="233" t="str">
        <f t="shared" si="2"/>
        <v/>
      </c>
      <c r="H19" s="233" t="str">
        <f t="shared" si="2"/>
        <v/>
      </c>
      <c r="I19" s="233" t="str">
        <f t="shared" si="2"/>
        <v/>
      </c>
      <c r="J19" s="233" t="str">
        <f t="shared" si="2"/>
        <v/>
      </c>
      <c r="K19" s="233" t="str">
        <f t="shared" si="2"/>
        <v/>
      </c>
      <c r="L19" s="233" t="str">
        <f t="shared" si="2"/>
        <v/>
      </c>
      <c r="M19" s="233" t="str">
        <f t="shared" si="2"/>
        <v/>
      </c>
      <c r="N19" s="233" t="str">
        <f t="shared" si="2"/>
        <v/>
      </c>
      <c r="O19" s="233" t="str">
        <f t="shared" si="2"/>
        <v/>
      </c>
      <c r="P19" s="233" t="str">
        <f t="shared" si="2"/>
        <v/>
      </c>
      <c r="Q19" s="234" t="str">
        <f t="shared" si="2"/>
        <v/>
      </c>
    </row>
    <row r="23" spans="1:17" ht="15.75" x14ac:dyDescent="0.25">
      <c r="A23" s="347" t="s">
        <v>158</v>
      </c>
      <c r="B23" s="347"/>
      <c r="C23" s="347"/>
      <c r="D23" s="348"/>
      <c r="E23" s="349" t="s">
        <v>28</v>
      </c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46"/>
      <c r="Q23" s="224" t="s">
        <v>152</v>
      </c>
    </row>
    <row r="24" spans="1:17" x14ac:dyDescent="0.2">
      <c r="C24" s="228"/>
      <c r="D24" s="228"/>
      <c r="E24" s="224" t="s">
        <v>29</v>
      </c>
      <c r="F24" s="224" t="s">
        <v>30</v>
      </c>
      <c r="G24" s="224" t="s">
        <v>31</v>
      </c>
      <c r="H24" s="224" t="s">
        <v>32</v>
      </c>
      <c r="I24" s="224" t="s">
        <v>33</v>
      </c>
      <c r="J24" s="224" t="s">
        <v>34</v>
      </c>
      <c r="K24" s="224" t="s">
        <v>35</v>
      </c>
      <c r="L24" s="224" t="s">
        <v>36</v>
      </c>
      <c r="M24" s="224" t="s">
        <v>37</v>
      </c>
      <c r="N24" s="224" t="s">
        <v>38</v>
      </c>
      <c r="O24" s="224" t="s">
        <v>39</v>
      </c>
      <c r="P24" s="224" t="s">
        <v>40</v>
      </c>
      <c r="Q24" s="224" t="s">
        <v>154</v>
      </c>
    </row>
    <row r="25" spans="1:17" ht="15.75" thickBot="1" x14ac:dyDescent="0.25">
      <c r="B25" s="229" t="s">
        <v>42</v>
      </c>
      <c r="C25" s="62" t="str">
        <f>IF(Test3!G$86="","",Test3!G$86)</f>
        <v/>
      </c>
      <c r="D25" s="230" t="s">
        <v>44</v>
      </c>
      <c r="E25" s="231" t="str">
        <f>IF(Test3!H$94="","",Test3!H$94)</f>
        <v/>
      </c>
      <c r="F25" s="231" t="str">
        <f>IF(Test3!H$95="","",Test3!H$95)</f>
        <v/>
      </c>
      <c r="G25" s="231" t="str">
        <f>IF(Test3!H$96="","",Test3!H$96)</f>
        <v/>
      </c>
      <c r="H25" s="231" t="str">
        <f>IF(Test3!H$97="","",Test3!H$97)</f>
        <v/>
      </c>
      <c r="I25" s="231" t="str">
        <f>IF(Test3!H$98="","",Test3!H$98)</f>
        <v/>
      </c>
      <c r="J25" s="231" t="str">
        <f>IF(Test3!H$99="","",Test3!H$99)</f>
        <v/>
      </c>
      <c r="K25" s="231" t="str">
        <f>IF(Test3!H$100="","",Test3!H$100)</f>
        <v/>
      </c>
      <c r="L25" s="231" t="str">
        <f>IF(Test3!H$101="","",Test3!H$101)</f>
        <v/>
      </c>
      <c r="M25" s="231" t="str">
        <f>IF(Test3!H$102="","",Test3!H$102)</f>
        <v/>
      </c>
      <c r="N25" s="231" t="str">
        <f>IF(Test3!H$103="","",Test3!H$103)</f>
        <v/>
      </c>
      <c r="O25" s="231" t="str">
        <f>IF(Test3!H$104="","",Test3!H$104)</f>
        <v/>
      </c>
      <c r="P25" s="231" t="str">
        <f>IF(Test3!H$105="","",Test3!H$105)</f>
        <v/>
      </c>
      <c r="Q25" s="225" t="str">
        <f>IF(P25="","",ROUND(J25*0.0041+K25*0.0082+L25*0.0164+M25*0.0287+N25*0.0614+O25*0.1229+P25*0.3277+0.41,2))</f>
        <v/>
      </c>
    </row>
    <row r="26" spans="1:17" ht="15.75" thickBot="1" x14ac:dyDescent="0.25">
      <c r="B26" s="229" t="s">
        <v>42</v>
      </c>
      <c r="C26" s="62" t="str">
        <f>IF(Test3!G$1="","",Test3!G$1)</f>
        <v/>
      </c>
      <c r="D26" s="232" t="s">
        <v>47</v>
      </c>
      <c r="E26" s="231" t="str">
        <f>IF(Test3!$H$9=0,IF(Test3!$F$9="","",Test3!$F$9),Test3!$H$9)</f>
        <v/>
      </c>
      <c r="F26" s="231" t="str">
        <f>IF(Test3!$H$10=0,IF(Test3!$F$10="","",Test3!$F$10),Test3!$H$10)</f>
        <v/>
      </c>
      <c r="G26" s="231" t="str">
        <f>IF(Test3!$H$11=0,IF(Test3!$F$11="","",Test3!$F$11),Test3!$H$11)</f>
        <v/>
      </c>
      <c r="H26" s="231" t="str">
        <f>IF(Test3!$H$12=0,IF(Test3!$F$12="","",Test3!$F$12),Test3!$H$12)</f>
        <v/>
      </c>
      <c r="I26" s="231" t="str">
        <f>IF(Test3!$H$13=0,IF(Test3!$F$13="","",Test3!$F$13),Test3!$H$13)</f>
        <v/>
      </c>
      <c r="J26" s="231" t="str">
        <f>IF(Test3!$H$14=0,IF(Test3!$F$14="","",Test3!$F$14),Test3!$H$14)</f>
        <v/>
      </c>
      <c r="K26" s="231" t="str">
        <f>IF(Test3!$H$15=0,IF(Test3!$F$15="","",Test3!$F$15),Test3!$H$15)</f>
        <v/>
      </c>
      <c r="L26" s="231" t="str">
        <f>IF(Test3!$H$16=0,IF(Test3!$F$16="","",Test3!$F$16),Test3!$H$16)</f>
        <v/>
      </c>
      <c r="M26" s="231" t="str">
        <f>IF(Test3!$H$17=0,IF(Test3!$F$17="","",Test3!$F$17),Test3!$H$17)</f>
        <v/>
      </c>
      <c r="N26" s="231" t="str">
        <f>IF(Test3!$H$18=0,IF(Test3!$F$18="","",Test3!$F$18),Test3!$H$18)</f>
        <v/>
      </c>
      <c r="O26" s="231" t="str">
        <f>IF(Test3!$H$19=0,IF(Test3!$F$19="","",Test3!$F$19),Test3!$H$19)</f>
        <v/>
      </c>
      <c r="P26" s="231" t="str">
        <f>IF(Test3!$H$20=0,IF(Test3!$F$20="","",Test3!$F$20),Test3!$H$20)</f>
        <v/>
      </c>
      <c r="Q26" s="225" t="str">
        <f>IF(P26="","",ROUND(J26*0.0041+K26*0.0082+L26*0.0164+M26*0.0287+N26*0.0614+O26*0.1229+P26*0.3277+0.41,2))</f>
        <v/>
      </c>
    </row>
    <row r="27" spans="1:17" x14ac:dyDescent="0.2">
      <c r="B27" s="228"/>
      <c r="C27" s="351" t="s">
        <v>48</v>
      </c>
      <c r="D27" s="352"/>
      <c r="E27" s="233" t="str">
        <f t="shared" ref="E27:Q27" si="3">IF(E26="","",E26-E25)</f>
        <v/>
      </c>
      <c r="F27" s="233" t="str">
        <f t="shared" si="3"/>
        <v/>
      </c>
      <c r="G27" s="233" t="str">
        <f t="shared" si="3"/>
        <v/>
      </c>
      <c r="H27" s="233" t="str">
        <f t="shared" si="3"/>
        <v/>
      </c>
      <c r="I27" s="233" t="str">
        <f t="shared" si="3"/>
        <v/>
      </c>
      <c r="J27" s="233" t="str">
        <f t="shared" si="3"/>
        <v/>
      </c>
      <c r="K27" s="233" t="str">
        <f t="shared" si="3"/>
        <v/>
      </c>
      <c r="L27" s="233" t="str">
        <f t="shared" si="3"/>
        <v/>
      </c>
      <c r="M27" s="233" t="str">
        <f t="shared" si="3"/>
        <v/>
      </c>
      <c r="N27" s="233" t="str">
        <f t="shared" si="3"/>
        <v/>
      </c>
      <c r="O27" s="233" t="str">
        <f t="shared" si="3"/>
        <v/>
      </c>
      <c r="P27" s="233" t="str">
        <f t="shared" si="3"/>
        <v/>
      </c>
      <c r="Q27" s="234" t="str">
        <f t="shared" si="3"/>
        <v/>
      </c>
    </row>
    <row r="31" spans="1:17" ht="15.75" x14ac:dyDescent="0.25">
      <c r="A31" s="347" t="s">
        <v>159</v>
      </c>
      <c r="B31" s="347"/>
      <c r="C31" s="347"/>
      <c r="D31" s="348"/>
      <c r="E31" s="349" t="s">
        <v>28</v>
      </c>
      <c r="F31" s="350"/>
      <c r="G31" s="350"/>
      <c r="H31" s="350"/>
      <c r="I31" s="350"/>
      <c r="J31" s="350"/>
      <c r="K31" s="350"/>
      <c r="L31" s="350"/>
      <c r="M31" s="350"/>
      <c r="N31" s="350"/>
      <c r="O31" s="350"/>
      <c r="P31" s="346"/>
      <c r="Q31" s="224" t="s">
        <v>152</v>
      </c>
    </row>
    <row r="32" spans="1:17" x14ac:dyDescent="0.2">
      <c r="C32" s="228"/>
      <c r="D32" s="228"/>
      <c r="E32" s="224" t="s">
        <v>29</v>
      </c>
      <c r="F32" s="224" t="s">
        <v>30</v>
      </c>
      <c r="G32" s="224" t="s">
        <v>31</v>
      </c>
      <c r="H32" s="224" t="s">
        <v>32</v>
      </c>
      <c r="I32" s="224" t="s">
        <v>33</v>
      </c>
      <c r="J32" s="224" t="s">
        <v>34</v>
      </c>
      <c r="K32" s="224" t="s">
        <v>35</v>
      </c>
      <c r="L32" s="224" t="s">
        <v>36</v>
      </c>
      <c r="M32" s="224" t="s">
        <v>37</v>
      </c>
      <c r="N32" s="224" t="s">
        <v>38</v>
      </c>
      <c r="O32" s="224" t="s">
        <v>39</v>
      </c>
      <c r="P32" s="224" t="s">
        <v>40</v>
      </c>
      <c r="Q32" s="224" t="s">
        <v>154</v>
      </c>
    </row>
    <row r="33" spans="2:17" ht="15.75" thickBot="1" x14ac:dyDescent="0.25">
      <c r="B33" s="229" t="s">
        <v>42</v>
      </c>
      <c r="C33" s="62" t="str">
        <f>IF(Test4!G$86="","",Test4!G$86)</f>
        <v/>
      </c>
      <c r="D33" s="230" t="s">
        <v>44</v>
      </c>
      <c r="E33" s="231" t="str">
        <f>IF(Test4!H$94="","",Test4!H$94)</f>
        <v/>
      </c>
      <c r="F33" s="231" t="str">
        <f>IF(Test4!H$95="","",Test4!H$95)</f>
        <v/>
      </c>
      <c r="G33" s="231" t="str">
        <f>IF(Test4!H$96="","",Test4!H$96)</f>
        <v/>
      </c>
      <c r="H33" s="231" t="str">
        <f>IF(Test4!H$97="","",Test4!H$97)</f>
        <v/>
      </c>
      <c r="I33" s="231" t="str">
        <f>IF(Test4!H$98="","",Test4!H$98)</f>
        <v/>
      </c>
      <c r="J33" s="231" t="str">
        <f>IF(Test4!H$99="","",Test4!H$99)</f>
        <v/>
      </c>
      <c r="K33" s="231" t="str">
        <f>IF(Test4!H$100="","",Test4!H$100)</f>
        <v/>
      </c>
      <c r="L33" s="231" t="str">
        <f>IF(Test4!H$101="","",Test4!H$101)</f>
        <v/>
      </c>
      <c r="M33" s="231" t="str">
        <f>IF(Test4!H$102="","",Test4!H$102)</f>
        <v/>
      </c>
      <c r="N33" s="231" t="str">
        <f>IF(Test4!H$103="","",Test4!H$103)</f>
        <v/>
      </c>
      <c r="O33" s="231" t="str">
        <f>IF(Test4!H$104="","",Test4!H$104)</f>
        <v/>
      </c>
      <c r="P33" s="231" t="str">
        <f>IF(Test4!H$105="","",Test4!H$105)</f>
        <v/>
      </c>
      <c r="Q33" s="225" t="str">
        <f>IF(P33="","",ROUND(J33*0.0041+K33*0.0082+L33*0.0164+M33*0.0287+N33*0.0614+O33*0.1229+P33*0.3277+0.41,2))</f>
        <v/>
      </c>
    </row>
    <row r="34" spans="2:17" ht="15.75" thickBot="1" x14ac:dyDescent="0.25">
      <c r="B34" s="229" t="s">
        <v>42</v>
      </c>
      <c r="C34" s="62" t="str">
        <f>IF(Test4!G$1="","",Test4!G$1)</f>
        <v/>
      </c>
      <c r="D34" s="232" t="s">
        <v>47</v>
      </c>
      <c r="E34" s="231" t="str">
        <f>IF(Test4!$H$9=0,IF(Test4!$F$9="","",Test4!$F$9),Test4!$H$9)</f>
        <v/>
      </c>
      <c r="F34" s="231" t="str">
        <f>IF(Test4!$H$10=0,IF(Test4!$F$10="","",Test4!$F$10),Test4!$H$10)</f>
        <v/>
      </c>
      <c r="G34" s="231" t="str">
        <f>IF(Test4!$H$11=0,IF(Test4!$F$11="","",Test4!$F$11),Test4!$H$11)</f>
        <v/>
      </c>
      <c r="H34" s="231" t="str">
        <f>IF(Test4!$H$12=0,IF(Test4!$F$12="","",Test4!$F$12),Test4!$H$12)</f>
        <v/>
      </c>
      <c r="I34" s="231" t="str">
        <f>IF(Test4!$H$13=0,IF(Test4!$F$13="","",Test4!$F$13),Test4!$H$13)</f>
        <v/>
      </c>
      <c r="J34" s="231" t="str">
        <f>IF(Test4!$H$14=0,IF(Test4!$F$14="","",Test4!$F$14),Test4!$H$14)</f>
        <v/>
      </c>
      <c r="K34" s="231" t="str">
        <f>IF(Test4!$H$15=0,IF(Test4!$F$15="","",Test4!$F$15),Test4!$H$15)</f>
        <v/>
      </c>
      <c r="L34" s="231" t="str">
        <f>IF(Test4!$H$16=0,IF(Test4!$F$16="","",Test4!$F$16),Test4!$H$16)</f>
        <v/>
      </c>
      <c r="M34" s="231" t="str">
        <f>IF(Test4!$H$17=0,IF(Test4!$F$17="","",Test4!$F$17),Test4!$H$17)</f>
        <v/>
      </c>
      <c r="N34" s="231" t="str">
        <f>IF(Test4!$H$18=0,IF(Test4!$F$18="","",Test4!$F$18),Test4!$H$18)</f>
        <v/>
      </c>
      <c r="O34" s="231" t="str">
        <f>IF(Test4!$H$19=0,IF(Test4!$F$19="","",Test4!$F$19),Test4!$H$19)</f>
        <v/>
      </c>
      <c r="P34" s="231" t="str">
        <f>IF(Test4!$H$20=0,IF(Test4!$F$20="","",Test4!$F$20),Test4!$H$20)</f>
        <v/>
      </c>
      <c r="Q34" s="225" t="str">
        <f>IF(P34="","",ROUND(J34*0.0041+K34*0.0082+L34*0.0164+M34*0.0287+N34*0.0614+O34*0.1229+P34*0.3277+0.41,2))</f>
        <v/>
      </c>
    </row>
    <row r="35" spans="2:17" x14ac:dyDescent="0.2">
      <c r="B35" s="228"/>
      <c r="C35" s="351" t="s">
        <v>48</v>
      </c>
      <c r="D35" s="352"/>
      <c r="E35" s="233" t="str">
        <f t="shared" ref="E35:Q35" si="4">IF(E34="","",E34-E33)</f>
        <v/>
      </c>
      <c r="F35" s="233" t="str">
        <f t="shared" si="4"/>
        <v/>
      </c>
      <c r="G35" s="233" t="str">
        <f t="shared" si="4"/>
        <v/>
      </c>
      <c r="H35" s="233" t="str">
        <f t="shared" si="4"/>
        <v/>
      </c>
      <c r="I35" s="233" t="str">
        <f t="shared" si="4"/>
        <v/>
      </c>
      <c r="J35" s="233" t="str">
        <f t="shared" si="4"/>
        <v/>
      </c>
      <c r="K35" s="233" t="str">
        <f t="shared" si="4"/>
        <v/>
      </c>
      <c r="L35" s="233" t="str">
        <f t="shared" si="4"/>
        <v/>
      </c>
      <c r="M35" s="233" t="str">
        <f t="shared" si="4"/>
        <v/>
      </c>
      <c r="N35" s="233" t="str">
        <f t="shared" si="4"/>
        <v/>
      </c>
      <c r="O35" s="233" t="str">
        <f t="shared" si="4"/>
        <v/>
      </c>
      <c r="P35" s="233" t="str">
        <f t="shared" si="4"/>
        <v/>
      </c>
      <c r="Q35" s="234" t="str">
        <f t="shared" si="4"/>
        <v/>
      </c>
    </row>
  </sheetData>
  <sheetProtection algorithmName="SHA-512" hashValue="geZVw1CZLi2HA/Zyuu++QASv6QtVGLL/eDFbSgMTn9yPDLI9AZsAFnVnLn4cGryzOmw6eixUdMQulzlWu1Dvew==" saltValue="JhpwEt0vky9lHmx570dVhg==" spinCount="100000" sheet="1" objects="1" scenarios="1"/>
  <mergeCells count="16">
    <mergeCell ref="C27:D27"/>
    <mergeCell ref="A31:D31"/>
    <mergeCell ref="E31:P31"/>
    <mergeCell ref="C35:D35"/>
    <mergeCell ref="C11:D11"/>
    <mergeCell ref="A15:D15"/>
    <mergeCell ref="E15:P15"/>
    <mergeCell ref="C19:D19"/>
    <mergeCell ref="A23:D23"/>
    <mergeCell ref="E23:P23"/>
    <mergeCell ref="A2:D2"/>
    <mergeCell ref="E2:P2"/>
    <mergeCell ref="A3:D3"/>
    <mergeCell ref="A4:D4"/>
    <mergeCell ref="A7:D7"/>
    <mergeCell ref="E7:P7"/>
  </mergeCells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6DDD87B20D3B4E8BA3329D1F73F3FD" ma:contentTypeVersion="13" ma:contentTypeDescription="Create a new document." ma:contentTypeScope="" ma:versionID="0177c2fc83569646962c34d314abd4cf">
  <xsd:schema xmlns:xsd="http://www.w3.org/2001/XMLSchema" xmlns:xs="http://www.w3.org/2001/XMLSchema" xmlns:p="http://schemas.microsoft.com/office/2006/metadata/properties" xmlns:ns1="http://schemas.microsoft.com/sharepoint/v3" xmlns:ns3="b5569257-ea7f-4abd-949f-b97d37e36e1a" xmlns:ns4="1955b6a4-2d87-4690-8190-2eb4b09ca27e" targetNamespace="http://schemas.microsoft.com/office/2006/metadata/properties" ma:root="true" ma:fieldsID="7ddc8068ef3e5a0b6613cd074c0a39c5" ns1:_="" ns3:_="" ns4:_="">
    <xsd:import namespace="http://schemas.microsoft.com/sharepoint/v3"/>
    <xsd:import namespace="b5569257-ea7f-4abd-949f-b97d37e36e1a"/>
    <xsd:import namespace="1955b6a4-2d87-4690-8190-2eb4b09ca27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69257-ea7f-4abd-949f-b97d37e36e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5b6a4-2d87-4690-8190-2eb4b09ca2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270AFF-A3FE-43FC-8DC3-F69BCA8775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3D43D6-9365-4D78-9634-4FF3D8791BA7}">
  <ds:schemaRefs>
    <ds:schemaRef ds:uri="b5569257-ea7f-4abd-949f-b97d37e36e1a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955b6a4-2d87-4690-8190-2eb4b09ca27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A0522D-91D0-4625-A092-F9066EE91B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5569257-ea7f-4abd-949f-b97d37e36e1a"/>
    <ds:schemaRef ds:uri="1955b6a4-2d87-4690-8190-2eb4b09ca2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IM216QMA</vt:lpstr>
      <vt:lpstr>Test1</vt:lpstr>
      <vt:lpstr>Test2</vt:lpstr>
      <vt:lpstr>Test3</vt:lpstr>
      <vt:lpstr>Test4</vt:lpstr>
      <vt:lpstr>Correction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Vries, Jeff</dc:creator>
  <cp:lastModifiedBy>Pecenka, Rhonda</cp:lastModifiedBy>
  <dcterms:created xsi:type="dcterms:W3CDTF">2020-06-08T15:28:54Z</dcterms:created>
  <dcterms:modified xsi:type="dcterms:W3CDTF">2020-06-10T11:43:43Z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0x010100246DDD87B20D3B4E8BA3329D1F73F3FD</vt:lpwstr>
  </property>
</Properties>
</file>